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S:\Financials\"/>
    </mc:Choice>
  </mc:AlternateContent>
  <xr:revisionPtr revIDLastSave="0" documentId="8_{BD115B88-4ADF-4526-BC48-2569CAE8B05E}" xr6:coauthVersionLast="43" xr6:coauthVersionMax="43" xr10:uidLastSave="{00000000-0000-0000-0000-000000000000}"/>
  <bookViews>
    <workbookView xWindow="1305" yWindow="1575" windowWidth="21600" windowHeight="11385" firstSheet="3" activeTab="3" xr2:uid="{00000000-000D-0000-FFFF-FFFF00000000}"/>
  </bookViews>
  <sheets>
    <sheet name="2nd Budget Amend 16-17 from Mgr" sheetId="67" state="hidden" r:id="rId1"/>
    <sheet name="Budget Amendm 16-17 from Mgr" sheetId="41" state="hidden" r:id="rId2"/>
    <sheet name="Old PreAmendment 2016-17" sheetId="39" state="hidden" r:id="rId3"/>
    <sheet name="2018-19" sheetId="111" r:id="rId4"/>
  </sheet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111" l="1"/>
  <c r="B63" i="111"/>
  <c r="B67" i="111"/>
  <c r="B79" i="111"/>
  <c r="B94" i="111"/>
  <c r="B116" i="111"/>
  <c r="B45" i="111"/>
  <c r="B56" i="111"/>
  <c r="B99" i="111"/>
  <c r="B103" i="111"/>
  <c r="B117" i="111"/>
  <c r="B124" i="111"/>
  <c r="B126" i="111"/>
  <c r="B118" i="111"/>
  <c r="H5" i="41"/>
  <c r="H6" i="41"/>
  <c r="H7" i="41"/>
  <c r="H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C26" i="41"/>
  <c r="D26" i="41"/>
  <c r="E26" i="41"/>
  <c r="F26" i="41"/>
  <c r="H27" i="41"/>
  <c r="H28" i="41"/>
  <c r="H29" i="41"/>
  <c r="H30" i="41"/>
  <c r="H31" i="41"/>
  <c r="H32" i="41"/>
  <c r="H33" i="41"/>
  <c r="H34" i="41"/>
  <c r="H35" i="41"/>
  <c r="C36" i="41"/>
  <c r="E36" i="41"/>
  <c r="H36" i="41"/>
  <c r="D36" i="41"/>
  <c r="F36" i="41"/>
  <c r="H37" i="41"/>
  <c r="H38" i="41"/>
  <c r="H39" i="41"/>
  <c r="H40" i="41"/>
  <c r="H41" i="41"/>
  <c r="H42" i="41"/>
  <c r="H43" i="41"/>
  <c r="H44" i="41"/>
  <c r="H45" i="41"/>
  <c r="C46" i="41"/>
  <c r="D46" i="41"/>
  <c r="E46" i="41"/>
  <c r="F46" i="41"/>
  <c r="H47" i="41"/>
  <c r="H48" i="41"/>
  <c r="H49" i="41"/>
  <c r="H50" i="41"/>
  <c r="H51" i="41"/>
  <c r="H52" i="41"/>
  <c r="H53" i="41"/>
  <c r="H54" i="41"/>
  <c r="H55" i="41"/>
  <c r="C56" i="41"/>
  <c r="D56" i="41"/>
  <c r="E56" i="41"/>
  <c r="E67" i="41"/>
  <c r="E78" i="41"/>
  <c r="E83" i="41"/>
  <c r="E86" i="41"/>
  <c r="E94" i="41"/>
  <c r="E100" i="41"/>
  <c r="F56" i="41"/>
  <c r="F67" i="41"/>
  <c r="F78" i="41"/>
  <c r="F83" i="41"/>
  <c r="F86" i="41"/>
  <c r="F94" i="41"/>
  <c r="F100" i="41"/>
  <c r="H57" i="41"/>
  <c r="H58" i="41"/>
  <c r="H59" i="41"/>
  <c r="H60" i="41"/>
  <c r="H61" i="41"/>
  <c r="H62" i="41"/>
  <c r="H63" i="41"/>
  <c r="H64" i="41"/>
  <c r="H65" i="41"/>
  <c r="H66" i="41"/>
  <c r="C67" i="41"/>
  <c r="D67" i="41"/>
  <c r="H68" i="41"/>
  <c r="H69" i="41"/>
  <c r="H70" i="41"/>
  <c r="H71" i="41"/>
  <c r="H72" i="41"/>
  <c r="H73" i="41"/>
  <c r="H74" i="41"/>
  <c r="H75" i="41"/>
  <c r="H76" i="41"/>
  <c r="H77" i="41"/>
  <c r="C78" i="41"/>
  <c r="C100" i="41"/>
  <c r="C94" i="41"/>
  <c r="C86" i="41"/>
  <c r="C83" i="41"/>
  <c r="D78" i="41"/>
  <c r="H79" i="41"/>
  <c r="H80" i="41"/>
  <c r="H81" i="41"/>
  <c r="H82" i="41"/>
  <c r="D83" i="41"/>
  <c r="H84" i="41"/>
  <c r="H85" i="41"/>
  <c r="D86" i="41"/>
  <c r="D100" i="41"/>
  <c r="D94" i="41"/>
  <c r="D101" i="41"/>
  <c r="H87" i="41"/>
  <c r="H88" i="41"/>
  <c r="H89" i="41"/>
  <c r="H90" i="41"/>
  <c r="H91" i="41"/>
  <c r="H92" i="41"/>
  <c r="H93" i="41"/>
  <c r="H95" i="41"/>
  <c r="H96" i="41"/>
  <c r="H97" i="41"/>
  <c r="H98" i="41"/>
  <c r="H99" i="41"/>
  <c r="B61" i="39"/>
  <c r="B77" i="39"/>
  <c r="B84" i="39"/>
  <c r="B89" i="39"/>
  <c r="B92" i="39"/>
  <c r="C85" i="39"/>
  <c r="D85" i="39"/>
  <c r="C89" i="39"/>
  <c r="B104" i="39"/>
  <c r="C95" i="39"/>
  <c r="C96" i="39"/>
  <c r="C97" i="39"/>
  <c r="C98" i="39"/>
  <c r="C99" i="39"/>
  <c r="C100" i="39"/>
  <c r="C101" i="39"/>
  <c r="C102" i="39"/>
  <c r="C103" i="39"/>
  <c r="C104" i="39"/>
  <c r="D104" i="39"/>
  <c r="B116" i="39"/>
  <c r="B121" i="39"/>
  <c r="B125" i="39"/>
  <c r="C123" i="39"/>
  <c r="C124" i="39"/>
  <c r="B131" i="39"/>
  <c r="C130" i="39"/>
  <c r="C131" i="39"/>
  <c r="B133" i="39"/>
  <c r="B134" i="39"/>
  <c r="D134" i="39"/>
  <c r="B135" i="39"/>
  <c r="B136" i="39"/>
  <c r="B137" i="39"/>
  <c r="B138" i="39"/>
  <c r="D136" i="39"/>
  <c r="B148" i="39"/>
  <c r="C148" i="39"/>
  <c r="B151" i="39"/>
  <c r="C151" i="39"/>
  <c r="D151" i="39"/>
  <c r="C54" i="39"/>
  <c r="C56" i="39"/>
  <c r="D56" i="39"/>
  <c r="C57" i="39"/>
  <c r="D57" i="39"/>
  <c r="C59" i="39"/>
  <c r="C60" i="39"/>
  <c r="D60" i="39"/>
  <c r="C62" i="39"/>
  <c r="D62" i="39"/>
  <c r="C63" i="39"/>
  <c r="D63" i="39"/>
  <c r="C64" i="39"/>
  <c r="D64" i="39"/>
  <c r="C69" i="39"/>
  <c r="C70" i="39"/>
  <c r="D70" i="39"/>
  <c r="C71" i="39"/>
  <c r="C72" i="39"/>
  <c r="C73" i="39"/>
  <c r="C74" i="39"/>
  <c r="D74" i="39"/>
  <c r="C75" i="39"/>
  <c r="D72" i="39"/>
  <c r="D73" i="39"/>
  <c r="D75" i="39"/>
  <c r="C79" i="39"/>
  <c r="D79" i="39"/>
  <c r="C80" i="39"/>
  <c r="D80" i="39"/>
  <c r="C81" i="39"/>
  <c r="C83" i="39"/>
  <c r="C84" i="39"/>
  <c r="D83" i="39"/>
  <c r="D84" i="39"/>
  <c r="D95" i="39"/>
  <c r="D97" i="39"/>
  <c r="D98" i="39"/>
  <c r="D99" i="39"/>
  <c r="D100" i="39"/>
  <c r="D102" i="39"/>
  <c r="C106" i="39"/>
  <c r="C107" i="39"/>
  <c r="D107" i="39"/>
  <c r="C108" i="39"/>
  <c r="C109" i="39"/>
  <c r="D109" i="39"/>
  <c r="C110" i="39"/>
  <c r="D110" i="39"/>
  <c r="C112" i="39"/>
  <c r="C113" i="39"/>
  <c r="D113" i="39"/>
  <c r="C114" i="39"/>
  <c r="D114" i="39"/>
  <c r="C115" i="39"/>
  <c r="D115" i="39"/>
  <c r="C119" i="39"/>
  <c r="C120" i="39"/>
  <c r="C121" i="39"/>
  <c r="D121" i="39"/>
  <c r="D120" i="39"/>
  <c r="D124" i="39"/>
  <c r="C126" i="39"/>
  <c r="D126" i="39"/>
  <c r="C139" i="39"/>
  <c r="B10" i="39"/>
  <c r="B16" i="39"/>
  <c r="B25" i="39"/>
  <c r="C21" i="39"/>
  <c r="C25" i="39"/>
  <c r="D25" i="39"/>
  <c r="B30" i="39"/>
  <c r="B35" i="39"/>
  <c r="C33" i="39"/>
  <c r="D33" i="39"/>
  <c r="C35" i="39"/>
  <c r="B37" i="39"/>
  <c r="D37" i="39"/>
  <c r="C7" i="39"/>
  <c r="C10" i="39"/>
  <c r="C11" i="39"/>
  <c r="C12" i="39"/>
  <c r="D12" i="39"/>
  <c r="C13" i="39"/>
  <c r="D13" i="39"/>
  <c r="C14" i="39"/>
  <c r="C15" i="39"/>
  <c r="D15" i="39"/>
  <c r="C17" i="39"/>
  <c r="D17" i="39"/>
  <c r="C18" i="39"/>
  <c r="D18" i="39"/>
  <c r="C19" i="39"/>
  <c r="C20" i="39"/>
  <c r="D20" i="39"/>
  <c r="C27" i="39"/>
  <c r="D27" i="39"/>
  <c r="C28" i="39"/>
  <c r="D28" i="39"/>
  <c r="C29" i="39"/>
  <c r="D29" i="39"/>
  <c r="C31" i="39"/>
  <c r="D31" i="39"/>
  <c r="C32" i="39"/>
  <c r="D32" i="39"/>
  <c r="C40" i="39"/>
  <c r="D40" i="39"/>
  <c r="C166" i="39"/>
  <c r="C160" i="39"/>
  <c r="B169" i="39"/>
  <c r="D168" i="39"/>
  <c r="D167" i="39"/>
  <c r="D165" i="39"/>
  <c r="D164" i="39"/>
  <c r="D163" i="39"/>
  <c r="D162" i="39"/>
  <c r="B160" i="39"/>
  <c r="D159" i="39"/>
  <c r="D158" i="39"/>
  <c r="D154" i="39"/>
  <c r="D153" i="39"/>
  <c r="D152" i="39"/>
  <c r="D150" i="39"/>
  <c r="D149" i="39"/>
  <c r="D147" i="39"/>
  <c r="D146" i="39"/>
  <c r="D145" i="39"/>
  <c r="D144" i="39"/>
  <c r="D143" i="39"/>
  <c r="D142" i="39"/>
  <c r="D141" i="39"/>
  <c r="D140" i="39"/>
  <c r="D138" i="39"/>
  <c r="D137" i="39"/>
  <c r="D135" i="39"/>
  <c r="D132" i="39"/>
  <c r="D129" i="39"/>
  <c r="D128" i="39"/>
  <c r="D122" i="39"/>
  <c r="D118" i="39"/>
  <c r="D117" i="39"/>
  <c r="D112" i="39"/>
  <c r="D111" i="39"/>
  <c r="D108" i="39"/>
  <c r="D105" i="39"/>
  <c r="D103" i="39"/>
  <c r="D101" i="39"/>
  <c r="D94" i="39"/>
  <c r="D93" i="39"/>
  <c r="D91" i="39"/>
  <c r="D90" i="39"/>
  <c r="D88" i="39"/>
  <c r="D87" i="39"/>
  <c r="D86" i="39"/>
  <c r="D82" i="39"/>
  <c r="D81" i="39"/>
  <c r="D78" i="39"/>
  <c r="D76" i="39"/>
  <c r="D71" i="39"/>
  <c r="D68" i="39"/>
  <c r="D67" i="39"/>
  <c r="D66" i="39"/>
  <c r="D59" i="39"/>
  <c r="D58" i="39"/>
  <c r="D55" i="39"/>
  <c r="D54" i="39"/>
  <c r="D53" i="39"/>
  <c r="C50" i="39"/>
  <c r="B50" i="39"/>
  <c r="D50" i="39"/>
  <c r="D49" i="39"/>
  <c r="D46" i="39"/>
  <c r="D45" i="39"/>
  <c r="D44" i="39"/>
  <c r="D43" i="39"/>
  <c r="D42" i="39"/>
  <c r="D41" i="39"/>
  <c r="D39" i="39"/>
  <c r="D38" i="39"/>
  <c r="D36" i="39"/>
  <c r="D34" i="39"/>
  <c r="D26" i="39"/>
  <c r="D24" i="39"/>
  <c r="D23" i="39"/>
  <c r="D22" i="39"/>
  <c r="D19" i="39"/>
  <c r="D9" i="39"/>
  <c r="D8" i="39"/>
  <c r="D130" i="39"/>
  <c r="D119" i="39"/>
  <c r="B127" i="39"/>
  <c r="B170" i="39"/>
  <c r="D11" i="39"/>
  <c r="D10" i="39"/>
  <c r="C116" i="39"/>
  <c r="D116" i="39"/>
  <c r="D106" i="39"/>
  <c r="D21" i="39"/>
  <c r="D133" i="39"/>
  <c r="C92" i="39"/>
  <c r="D148" i="39"/>
  <c r="F101" i="41"/>
  <c r="C16" i="39"/>
  <c r="D16" i="39"/>
  <c r="D14" i="39"/>
  <c r="D96" i="39"/>
  <c r="D89" i="39"/>
  <c r="D92" i="39"/>
  <c r="H83" i="41"/>
  <c r="E101" i="41"/>
  <c r="H3" i="41"/>
  <c r="D123" i="39"/>
  <c r="C125" i="39"/>
  <c r="C30" i="39"/>
  <c r="D160" i="39"/>
  <c r="C77" i="39"/>
  <c r="D77" i="39"/>
  <c r="D69" i="39"/>
  <c r="C101" i="41"/>
  <c r="H94" i="41"/>
  <c r="D166" i="39"/>
  <c r="C169" i="39"/>
  <c r="C170" i="39"/>
  <c r="D170" i="39"/>
  <c r="B47" i="39"/>
  <c r="B139" i="39"/>
  <c r="D139" i="39"/>
  <c r="B65" i="39"/>
  <c r="C61" i="39"/>
  <c r="D61" i="39"/>
  <c r="D169" i="39"/>
  <c r="D7" i="39"/>
  <c r="D35" i="39"/>
  <c r="C65" i="39"/>
  <c r="D131" i="39"/>
  <c r="C127" i="39"/>
  <c r="C155" i="39"/>
  <c r="F7" i="39"/>
  <c r="F9" i="39"/>
  <c r="D125" i="39"/>
  <c r="D127" i="39"/>
  <c r="F19" i="39"/>
  <c r="F21" i="39"/>
  <c r="B155" i="39"/>
  <c r="D65" i="39"/>
  <c r="B51" i="39"/>
  <c r="C47" i="39"/>
  <c r="D47" i="39"/>
  <c r="F3" i="39"/>
  <c r="F5" i="39"/>
  <c r="D30" i="39"/>
  <c r="C51" i="39"/>
  <c r="C156" i="39"/>
  <c r="C171" i="39"/>
  <c r="D51" i="39"/>
  <c r="B156" i="39"/>
  <c r="F11" i="39"/>
  <c r="D155" i="39"/>
  <c r="F15" i="39"/>
  <c r="F17" i="39"/>
  <c r="F23" i="39"/>
  <c r="D156" i="39"/>
  <c r="B171" i="39"/>
  <c r="D171" i="39"/>
</calcChain>
</file>

<file path=xl/sharedStrings.xml><?xml version="1.0" encoding="utf-8"?>
<sst xmlns="http://schemas.openxmlformats.org/spreadsheetml/2006/main" count="609" uniqueCount="299">
  <si>
    <t>2016-2017</t>
  </si>
  <si>
    <t>Amendment #1</t>
  </si>
  <si>
    <t>Amendment #2</t>
  </si>
  <si>
    <t>Budget</t>
  </si>
  <si>
    <t>Projected</t>
  </si>
  <si>
    <t xml:space="preserve"> Variance</t>
  </si>
  <si>
    <t>Balance Forward</t>
  </si>
  <si>
    <t>Ad Valorem Tax</t>
  </si>
  <si>
    <t>State Sales Tax</t>
  </si>
  <si>
    <t>Mixed Beverage Tax</t>
  </si>
  <si>
    <t>PEC Franchise Fee</t>
  </si>
  <si>
    <t>Time Warner Franchise Fee</t>
  </si>
  <si>
    <t>TWC - PEG Cable Revenue</t>
  </si>
  <si>
    <t>AquaTexas Franchise</t>
  </si>
  <si>
    <t>IESI Franchise Fee</t>
  </si>
  <si>
    <t>Telephone Franchise Fee</t>
  </si>
  <si>
    <t>QuickSand Franchise Revenue</t>
  </si>
  <si>
    <t>Reimbursement</t>
  </si>
  <si>
    <t>Engineering Reimbursement</t>
  </si>
  <si>
    <t>Legal Reimbursement</t>
  </si>
  <si>
    <t>Admin Reimbursement</t>
  </si>
  <si>
    <t>Development Revenue</t>
  </si>
  <si>
    <t>Sign Fees</t>
  </si>
  <si>
    <t>Interest Income</t>
  </si>
  <si>
    <t>Other Revenue</t>
  </si>
  <si>
    <t>Oak Wilt Containment</t>
  </si>
  <si>
    <t>Municipal Court Revenue</t>
  </si>
  <si>
    <t>Donations Received</t>
  </si>
  <si>
    <t>Total Gen Fund Revenues</t>
  </si>
  <si>
    <t>Expenditures:</t>
  </si>
  <si>
    <t>Salaries and Wages</t>
  </si>
  <si>
    <t>City Manager Car Allowance</t>
  </si>
  <si>
    <t>Health Insurance Stipend</t>
  </si>
  <si>
    <t>Elected Official - Pay</t>
  </si>
  <si>
    <t>Payroll Tax</t>
  </si>
  <si>
    <t>Retirement</t>
  </si>
  <si>
    <t>Direct Deposit Expense</t>
  </si>
  <si>
    <t>Personnel Services</t>
  </si>
  <si>
    <t>Bank Fees &amp; Charges</t>
  </si>
  <si>
    <t>City Hall Maintenance/Repairs</t>
  </si>
  <si>
    <t>Cleaning Costs</t>
  </si>
  <si>
    <t>IT &amp; Radio</t>
  </si>
  <si>
    <t>Newsletter</t>
  </si>
  <si>
    <t>Office Supplies</t>
  </si>
  <si>
    <t>Postage &amp; Shipping</t>
  </si>
  <si>
    <t>Printing &amp; Reproduction</t>
  </si>
  <si>
    <t>Storage Rental</t>
  </si>
  <si>
    <t>Software and Subscriptions</t>
  </si>
  <si>
    <t>Office Expenses</t>
  </si>
  <si>
    <t>Audit Expenses</t>
  </si>
  <si>
    <t>Codification</t>
  </si>
  <si>
    <t>Contract Labor</t>
  </si>
  <si>
    <t>Engineering</t>
  </si>
  <si>
    <t>Legal Expenses</t>
  </si>
  <si>
    <t>General</t>
  </si>
  <si>
    <t>Legal Reimbursable</t>
  </si>
  <si>
    <t>Special Cases</t>
  </si>
  <si>
    <r>
      <t>IT Ser</t>
    </r>
    <r>
      <rPr>
        <i/>
        <sz val="10"/>
        <color rgb="FF000000"/>
        <rFont val="Arial"/>
        <family val="2"/>
      </rPr>
      <t>vices</t>
    </r>
  </si>
  <si>
    <t>Accounting</t>
  </si>
  <si>
    <t>Professional Services</t>
  </si>
  <si>
    <t>Deer Removal</t>
  </si>
  <si>
    <t>Mowing</t>
  </si>
  <si>
    <t>Outdoor Beautification</t>
  </si>
  <si>
    <t>ROW Tree Trimming</t>
  </si>
  <si>
    <t>Street Maintenance</t>
  </si>
  <si>
    <t>Street Signs</t>
  </si>
  <si>
    <t>Storm Damage Reserve</t>
  </si>
  <si>
    <t>Tree Limb Pick-Up</t>
  </si>
  <si>
    <t>Area Care/Maintenance</t>
  </si>
  <si>
    <t>Ad Valorem Tax Expense</t>
  </si>
  <si>
    <t>Building  Inspections</t>
  </si>
  <si>
    <t>Code Compliance</t>
  </si>
  <si>
    <t>Dues &amp; Memberships</t>
  </si>
  <si>
    <t>Election Expense</t>
  </si>
  <si>
    <t>Meeting Expense</t>
  </si>
  <si>
    <t>Public Notices</t>
  </si>
  <si>
    <t>Travel &amp; Vehicle Exp Reimb</t>
  </si>
  <si>
    <t>Training &amp; Prof Development</t>
  </si>
  <si>
    <t>Other Operating Expenses</t>
  </si>
  <si>
    <t>City Hall Utilities</t>
  </si>
  <si>
    <t>Telephone &amp; Internet</t>
  </si>
  <si>
    <t>Outdoor Utilities</t>
  </si>
  <si>
    <t>Utilities</t>
  </si>
  <si>
    <t>TML Insurance</t>
  </si>
  <si>
    <t>Insurance</t>
  </si>
  <si>
    <t>MC Judge</t>
  </si>
  <si>
    <t>Misc. Court Costs</t>
  </si>
  <si>
    <t>Prosecutor</t>
  </si>
  <si>
    <t>State Comptroller Costs</t>
  </si>
  <si>
    <t>Supplies</t>
  </si>
  <si>
    <t>Traffic Enforcement</t>
  </si>
  <si>
    <t>Municipal Court Costs</t>
  </si>
  <si>
    <t>Contigency Reserve</t>
  </si>
  <si>
    <t>Miscellaneous</t>
  </si>
  <si>
    <t>Reconciliation Discrepancies</t>
  </si>
  <si>
    <t>Total Gen Fund Expenditures</t>
  </si>
  <si>
    <t>Capital Projects Fund</t>
  </si>
  <si>
    <t>Revenue</t>
  </si>
  <si>
    <t>Note Proceeds</t>
  </si>
  <si>
    <t>Expenses</t>
  </si>
  <si>
    <t>Construction Cost</t>
  </si>
  <si>
    <t xml:space="preserve">Amended </t>
  </si>
  <si>
    <t>Adjusted 3030 sub-account</t>
  </si>
  <si>
    <t>Adjusted 3090.02 sub-account</t>
  </si>
  <si>
    <t>Adjusted 6000.16 sub-account</t>
  </si>
  <si>
    <t>Not in Treas Rept Budget</t>
  </si>
  <si>
    <t>The City of Woodcreek</t>
  </si>
  <si>
    <t>Bud Revenue Changes, Budget Amendment</t>
  </si>
  <si>
    <t xml:space="preserve">Budget Overview: 2015-16 Budget - FY16 P&amp;L </t>
  </si>
  <si>
    <t>October 2016 - September 2017</t>
  </si>
  <si>
    <t>Orig Budget Treas Rept (Below)</t>
  </si>
  <si>
    <t>Orig Budget Brenton's Bud Amend Doc</t>
  </si>
  <si>
    <t>Municipal Court</t>
  </si>
  <si>
    <t>Operating</t>
  </si>
  <si>
    <t>TOTAL</t>
  </si>
  <si>
    <t>$18,930 "Balance Forward"</t>
  </si>
  <si>
    <t xml:space="preserve">   3000 Ad Valorem Tax Revenue</t>
  </si>
  <si>
    <t>Am Bud Treas Rept</t>
  </si>
  <si>
    <t xml:space="preserve">      3000.01 Ad Valorem Tax</t>
  </si>
  <si>
    <t>Am Bud Brenton's Bud Amend Doc</t>
  </si>
  <si>
    <t xml:space="preserve">      3000.02 Delinquent Ad Valorem Tax</t>
  </si>
  <si>
    <t xml:space="preserve">   Total 3000 Ad Valorem Tax Revenue</t>
  </si>
  <si>
    <t xml:space="preserve">   3005 State Sales Tax Revenue</t>
  </si>
  <si>
    <t>Difference in difference</t>
  </si>
  <si>
    <t xml:space="preserve">   3010 Mixed Beverage Tax &amp; Fees Rev</t>
  </si>
  <si>
    <t xml:space="preserve">   3020 Electric Franchise Fee Revenue</t>
  </si>
  <si>
    <t>Bud Expend Changes, Budget Amendment</t>
  </si>
  <si>
    <t xml:space="preserve">   3030 Cable Services Franchise Rev</t>
  </si>
  <si>
    <t xml:space="preserve">      3030.1 PEG - Cable Revenue</t>
  </si>
  <si>
    <t xml:space="preserve">   Total 3030 Cable Services Franchise Rev</t>
  </si>
  <si>
    <t xml:space="preserve">   3040 Water Service Franchise Revenue</t>
  </si>
  <si>
    <t>$88,500 = $75,980 "Contingency Reserve" (not in Treas Rept) &amp; $12,610 "Other Expenditures" (below the line)</t>
  </si>
  <si>
    <t xml:space="preserve">   3050 Disposal Service Franchise Rev</t>
  </si>
  <si>
    <t xml:space="preserve">   3060 Telephone Franchise Revenue</t>
  </si>
  <si>
    <t xml:space="preserve">   3070 Golf Course Franchise Revenue</t>
  </si>
  <si>
    <t xml:space="preserve">   3080 Reimbursements</t>
  </si>
  <si>
    <t xml:space="preserve">      3080.10 Engineerings</t>
  </si>
  <si>
    <t xml:space="preserve">      3080.20 Legal</t>
  </si>
  <si>
    <t xml:space="preserve">      3080.30 Admin</t>
  </si>
  <si>
    <t>$2,040 "Contingency Reserve" adjustment; "Contingency Reserve"  is not in Treas Rept budget</t>
  </si>
  <si>
    <t xml:space="preserve">   Total 3080 Reimbursements</t>
  </si>
  <si>
    <t xml:space="preserve">   3090 Development Revenue</t>
  </si>
  <si>
    <t xml:space="preserve">      3090.01 Residential</t>
  </si>
  <si>
    <t xml:space="preserve">      3090.02 Commercial</t>
  </si>
  <si>
    <t xml:space="preserve">      3090.03 Other</t>
  </si>
  <si>
    <t xml:space="preserve">   Total 3090 Development Revenue</t>
  </si>
  <si>
    <t xml:space="preserve">   3095 Sign Fees</t>
  </si>
  <si>
    <t xml:space="preserve">   4000 Interest Income</t>
  </si>
  <si>
    <t xml:space="preserve">   4010 Other Revenue</t>
  </si>
  <si>
    <t xml:space="preserve">      4010.1 Coupons</t>
  </si>
  <si>
    <t xml:space="preserve">   Total 4010 Other Revenue</t>
  </si>
  <si>
    <t xml:space="preserve">   4015 Oak Wilt Containment</t>
  </si>
  <si>
    <t xml:space="preserve">   4020 Municipal Court Revenue</t>
  </si>
  <si>
    <t xml:space="preserve">   4030 Hotel &amp; Occupancy Tax Revenue (deleted)</t>
  </si>
  <si>
    <t xml:space="preserve">   4030.1 HOT Interest Income (deleted)</t>
  </si>
  <si>
    <t xml:space="preserve">   4040 Donations Received</t>
  </si>
  <si>
    <t xml:space="preserve">   4050 General Fund Transfer</t>
  </si>
  <si>
    <t xml:space="preserve">   Billable Expenditure Revenue</t>
  </si>
  <si>
    <t xml:space="preserve">   Markup</t>
  </si>
  <si>
    <t xml:space="preserve">   Services</t>
  </si>
  <si>
    <t xml:space="preserve">   Shipping Revenue</t>
  </si>
  <si>
    <t xml:space="preserve">   Uncategorized Revenue</t>
  </si>
  <si>
    <t>Total Revenue</t>
  </si>
  <si>
    <t>Cost of Goods Sold</t>
  </si>
  <si>
    <t xml:space="preserve">   50000 Cost of Goods Sold</t>
  </si>
  <si>
    <t>Total Cost of Goods Sold</t>
  </si>
  <si>
    <t>Gross Profit</t>
  </si>
  <si>
    <t>Expenditures</t>
  </si>
  <si>
    <t xml:space="preserve">   5000 Personnel Services</t>
  </si>
  <si>
    <t xml:space="preserve">      5000.01 Salaries and Wages</t>
  </si>
  <si>
    <t xml:space="preserve">      5000.02 Expense Reimbursement Allowance</t>
  </si>
  <si>
    <t xml:space="preserve">      5000.03 City Manager Vehicle Reimbursem</t>
  </si>
  <si>
    <t xml:space="preserve">      5000.05 Elected Official Pay</t>
  </si>
  <si>
    <t xml:space="preserve">      5000.20 Payroll Tax Expense</t>
  </si>
  <si>
    <t xml:space="preserve">         5000.21 FICA/OASDI</t>
  </si>
  <si>
    <t xml:space="preserve">         5000.22 Unemployment Insurance</t>
  </si>
  <si>
    <t xml:space="preserve">      Total 5000.20 Payroll Tax Expense</t>
  </si>
  <si>
    <t xml:space="preserve">      5000.40 Retirement</t>
  </si>
  <si>
    <t xml:space="preserve">      5000.50 Direct Deposit Expense</t>
  </si>
  <si>
    <t xml:space="preserve">      5000.51 Health Insurance Stipend</t>
  </si>
  <si>
    <t xml:space="preserve">   Total 5000 Personnel Services</t>
  </si>
  <si>
    <t xml:space="preserve">   5017.1 Street Maintenence Prior Year (deleted)</t>
  </si>
  <si>
    <t xml:space="preserve">   5500 Office Expenses</t>
  </si>
  <si>
    <t xml:space="preserve">      5500.05 Bank Fees &amp; Charges</t>
  </si>
  <si>
    <t xml:space="preserve">      5500.10 City Hall Maintenence / Repairs</t>
  </si>
  <si>
    <t xml:space="preserve">      5500.30 IT &amp; Radio Expenses</t>
  </si>
  <si>
    <t xml:space="preserve">      5500.40 Newsletter</t>
  </si>
  <si>
    <t xml:space="preserve">      5500.50 Office Supplies</t>
  </si>
  <si>
    <t xml:space="preserve">      5500.60 Postage &amp; Shipping</t>
  </si>
  <si>
    <t xml:space="preserve">      5500.61 Printing &amp; Reproduction</t>
  </si>
  <si>
    <t xml:space="preserve">      5500.70 Storage Rental</t>
  </si>
  <si>
    <t xml:space="preserve">      5500.80 Software &amp; Subscriptions</t>
  </si>
  <si>
    <t xml:space="preserve">   Total 5500 Office Expenses</t>
  </si>
  <si>
    <t xml:space="preserve">   6000 Professional Services</t>
  </si>
  <si>
    <t xml:space="preserve">      6000.01 Audit Expense</t>
  </si>
  <si>
    <t xml:space="preserve">      6000.10 Codification</t>
  </si>
  <si>
    <t xml:space="preserve">      6000.11 Contract Labor</t>
  </si>
  <si>
    <t xml:space="preserve">      6000.15 Engineering</t>
  </si>
  <si>
    <t xml:space="preserve">         6000.16 Mapping</t>
  </si>
  <si>
    <t xml:space="preserve">      Total 6000.15 Engineering</t>
  </si>
  <si>
    <t xml:space="preserve">      6000.20 Legal Expenses</t>
  </si>
  <si>
    <t xml:space="preserve">         6000.21 General</t>
  </si>
  <si>
    <t xml:space="preserve">         6000.22 Legal Reimbursable</t>
  </si>
  <si>
    <t xml:space="preserve">         6000.25 Special Cases</t>
  </si>
  <si>
    <t xml:space="preserve">      Total 6000.20 Legal Expenses</t>
  </si>
  <si>
    <t xml:space="preserve">      6000.30 IT Services</t>
  </si>
  <si>
    <t xml:space="preserve">      6000.40 Accounting</t>
  </si>
  <si>
    <t xml:space="preserve">   Total 6000 Professional Services</t>
  </si>
  <si>
    <t xml:space="preserve">   6030 Bank Service Charges (deleted)</t>
  </si>
  <si>
    <t xml:space="preserve">   6500 Area Care/Maintenance</t>
  </si>
  <si>
    <t xml:space="preserve">      6500.01 Deer Removal</t>
  </si>
  <si>
    <t xml:space="preserve">      6500.15 Mowing</t>
  </si>
  <si>
    <t xml:space="preserve">      6500.20 Oak Wilt Containment</t>
  </si>
  <si>
    <t xml:space="preserve">      6500.21 Outdoor Beautification</t>
  </si>
  <si>
    <t xml:space="preserve">      6500.25 ROW Tree Trimming</t>
  </si>
  <si>
    <t xml:space="preserve">      6500.30 Street Maintainence</t>
  </si>
  <si>
    <t xml:space="preserve">      6500.31 Street Signs</t>
  </si>
  <si>
    <t xml:space="preserve">      6500.35 Storm Damage Reserve</t>
  </si>
  <si>
    <t xml:space="preserve">      6500.40 Tree Limb Pick-Up</t>
  </si>
  <si>
    <t xml:space="preserve">   Total 6500 Area Care/Maintenance</t>
  </si>
  <si>
    <t xml:space="preserve">   7000 Other Operating Expenses</t>
  </si>
  <si>
    <t xml:space="preserve">      7000.01 Ad Valorem Tax Expense</t>
  </si>
  <si>
    <t xml:space="preserve">      7000.02 Building Inspections</t>
  </si>
  <si>
    <t xml:space="preserve">      7000.03 Code Compliance</t>
  </si>
  <si>
    <t xml:space="preserve">      7000.04 Dues &amp; Membership</t>
  </si>
  <si>
    <t xml:space="preserve">      7000.05 Election Expense</t>
  </si>
  <si>
    <t xml:space="preserve">      7000.10 Depreciation Expense</t>
  </si>
  <si>
    <t xml:space="preserve">      7000.15 Meeting Expense</t>
  </si>
  <si>
    <t xml:space="preserve">      7000.20 Public Notices</t>
  </si>
  <si>
    <t xml:space="preserve">      7000.30 Travel &amp; Vehicle Exp Reimb.</t>
  </si>
  <si>
    <t xml:space="preserve">      7000.40 Training &amp; Prof Development</t>
  </si>
  <si>
    <t xml:space="preserve">   Total 7000 Other Operating Expenses</t>
  </si>
  <si>
    <t xml:space="preserve">   7500 Utilities</t>
  </si>
  <si>
    <t xml:space="preserve">      7500.10 City Hall Utilities</t>
  </si>
  <si>
    <t xml:space="preserve">         7500.11 Electric</t>
  </si>
  <si>
    <t xml:space="preserve">         7500.12 Water</t>
  </si>
  <si>
    <t xml:space="preserve">      Total 7500.10 City Hall Utilities</t>
  </si>
  <si>
    <t xml:space="preserve">      7500.20 Outdoor Utilities</t>
  </si>
  <si>
    <t xml:space="preserve">         7500.21 Electric</t>
  </si>
  <si>
    <t xml:space="preserve">         7500.22 Water</t>
  </si>
  <si>
    <t xml:space="preserve">      Total 7500.20 Outdoor Utilities</t>
  </si>
  <si>
    <t xml:space="preserve">      7500.30 Telephone &amp; Internet</t>
  </si>
  <si>
    <t xml:space="preserve">   Total 7500 Utilities</t>
  </si>
  <si>
    <t xml:space="preserve">   7600 Insurance</t>
  </si>
  <si>
    <t xml:space="preserve">      6010 Health Insurance (deleted)</t>
  </si>
  <si>
    <t xml:space="preserve">      7600.01 TML Insurance</t>
  </si>
  <si>
    <t xml:space="preserve">   Total 7600 Insurance</t>
  </si>
  <si>
    <t xml:space="preserve">   8020 Municipal Court Costs</t>
  </si>
  <si>
    <t xml:space="preserve">      8020.20 MC Judge</t>
  </si>
  <si>
    <t xml:space="preserve">      8020.25 Misc. Court Costs</t>
  </si>
  <si>
    <t xml:space="preserve">      8020.30 Prosecutor</t>
  </si>
  <si>
    <t xml:space="preserve">      8020.40 State Comptroller Costs</t>
  </si>
  <si>
    <t xml:space="preserve">      8020.41 Supplies</t>
  </si>
  <si>
    <t xml:space="preserve">      8020.60 Traffic Enforcements</t>
  </si>
  <si>
    <t xml:space="preserve">   Total 8020 Municipal Court Costs</t>
  </si>
  <si>
    <t xml:space="preserve">   8100 HOT Expense (deleted)</t>
  </si>
  <si>
    <t xml:space="preserve">      8100.1 IT Expense (deleted)</t>
  </si>
  <si>
    <t xml:space="preserve">      8100.20 Bank Fees (deleted)</t>
  </si>
  <si>
    <t xml:space="preserve">      8100.25 Membership Dues (deleted)</t>
  </si>
  <si>
    <t xml:space="preserve">      8100.3 Printing &amp; Reproduction (deleted)</t>
  </si>
  <si>
    <t xml:space="preserve">      8100.4 Postage (deleted)</t>
  </si>
  <si>
    <t xml:space="preserve">      8100.5 Tourism Events (deleted)</t>
  </si>
  <si>
    <t xml:space="preserve">      8100.55 HOT Public Notices (deleted)</t>
  </si>
  <si>
    <t xml:space="preserve">   Total 8100 HOT Expense (deleted)</t>
  </si>
  <si>
    <t xml:space="preserve">   8900 Miscellaneous</t>
  </si>
  <si>
    <t xml:space="preserve">      8900.10 Reconciliation Discrepancies</t>
  </si>
  <si>
    <t xml:space="preserve">   Total 8900 Miscellaneous</t>
  </si>
  <si>
    <t xml:space="preserve">   9077 General Fund Accrual</t>
  </si>
  <si>
    <t xml:space="preserve">   Unapplied Cash Bill Payment Expenditure</t>
  </si>
  <si>
    <t xml:space="preserve">   Uncategorized Expenditure</t>
  </si>
  <si>
    <t>Total Expenditures</t>
  </si>
  <si>
    <t>Net Operating Revenue</t>
  </si>
  <si>
    <t xml:space="preserve">   4019 Proceeds from Capital Leases</t>
  </si>
  <si>
    <t xml:space="preserve">   8500 Capital Improvement Income</t>
  </si>
  <si>
    <t>Total Other Revenue</t>
  </si>
  <si>
    <t>Other Expenditures</t>
  </si>
  <si>
    <t xml:space="preserve">   8500.25 Capital Improvement Expense</t>
  </si>
  <si>
    <t xml:space="preserve">   9001 Capital Lease Principal</t>
  </si>
  <si>
    <t xml:space="preserve">   9002 Interest on Capital Lease</t>
  </si>
  <si>
    <t xml:space="preserve">   9074 Other Capital Outlay</t>
  </si>
  <si>
    <t xml:space="preserve">   9800.01 Capital Expenditures - CY</t>
  </si>
  <si>
    <t xml:space="preserve">   9800.02 Other Miscellaneous Expenditure</t>
  </si>
  <si>
    <t xml:space="preserve">   Reconciliation Discrepancies</t>
  </si>
  <si>
    <t>Total Other Expenditures</t>
  </si>
  <si>
    <t>Net Other Revenue</t>
  </si>
  <si>
    <t>Net Revenue</t>
  </si>
  <si>
    <t>Tuesday, Nov 15, 2016 01:49:29 PM GMT-8 - Cash Basis</t>
  </si>
  <si>
    <t>Budget Overview</t>
  </si>
  <si>
    <t>2018-2019 Fiscal Year</t>
  </si>
  <si>
    <t xml:space="preserve">      5000.02 Ins Expense Reimbursement</t>
  </si>
  <si>
    <t xml:space="preserve">      5500.20 Cleaning Costs</t>
  </si>
  <si>
    <t xml:space="preserve">      6500.50 Equipment Maintenance</t>
  </si>
  <si>
    <t xml:space="preserve">      7000.31 Elected Official Travel</t>
  </si>
  <si>
    <t xml:space="preserve">         7000.41 Elected Body</t>
  </si>
  <si>
    <t xml:space="preserve">         7000.42 Staff</t>
  </si>
  <si>
    <t xml:space="preserve">      7000.50 Community Relations</t>
  </si>
  <si>
    <t xml:space="preserve">      8020.60 Public Safety</t>
  </si>
  <si>
    <t xml:space="preserve">      8900.20 Contingency Reserve</t>
  </si>
  <si>
    <t>Total Expenditures Including Other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</si>
</sst>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164" formatCode="#,##0.00\ _€"/>
    <numFmt numFmtId="165" formatCode="&quot;$&quot;* #,##0.00\ _€"/>
    <numFmt numFmtId="166" formatCode="0.00\ ;\(0.00\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EDED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/>
  </cellStyleXfs>
  <cellXfs count="159">
    <xf numFmtId="0" fontId="0" fillId="0" borderId="0" xfId="0"/>
    <xf numFmtId="0" fontId="2" fillId="0" borderId="0" xfId="0" applyFont="1" applyAlignment="1">
      <alignment horizontal="left"/>
    </xf>
    <xf numFmtId="0" fontId="3" fillId="0" borderId="0" xfId="1"/>
    <xf numFmtId="0" fontId="2" fillId="0" borderId="0" xfId="1" applyFont="1" applyAlignment="1">
      <alignment horizontal="left" wrapText="1"/>
    </xf>
    <xf numFmtId="164" fontId="7" fillId="0" borderId="0" xfId="1" applyNumberFormat="1" applyFont="1" applyAlignment="1">
      <alignment wrapText="1"/>
    </xf>
    <xf numFmtId="164" fontId="7" fillId="0" borderId="0" xfId="1" applyNumberFormat="1" applyFont="1" applyAlignment="1">
      <alignment horizontal="right" wrapText="1"/>
    </xf>
    <xf numFmtId="165" fontId="2" fillId="0" borderId="2" xfId="1" applyNumberFormat="1" applyFont="1" applyBorder="1" applyAlignment="1">
      <alignment horizontal="right" wrapText="1"/>
    </xf>
    <xf numFmtId="41" fontId="3" fillId="0" borderId="0" xfId="1" applyNumberFormat="1" applyAlignment="1">
      <alignment horizontal="right"/>
    </xf>
    <xf numFmtId="41" fontId="3" fillId="0" borderId="4" xfId="1" applyNumberFormat="1" applyBorder="1" applyAlignment="1">
      <alignment horizontal="right"/>
    </xf>
    <xf numFmtId="3" fontId="0" fillId="0" borderId="0" xfId="0" applyNumberFormat="1"/>
    <xf numFmtId="0" fontId="1" fillId="0" borderId="0" xfId="0" applyFont="1"/>
    <xf numFmtId="3" fontId="0" fillId="4" borderId="5" xfId="0" applyNumberFormat="1" applyFill="1" applyBorder="1"/>
    <xf numFmtId="3" fontId="0" fillId="0" borderId="5" xfId="0" applyNumberFormat="1" applyBorder="1"/>
    <xf numFmtId="0" fontId="0" fillId="0" borderId="5" xfId="0" applyBorder="1"/>
    <xf numFmtId="0" fontId="8" fillId="0" borderId="5" xfId="0" applyFont="1" applyBorder="1"/>
    <xf numFmtId="3" fontId="0" fillId="0" borderId="6" xfId="0" applyNumberFormat="1" applyBorder="1"/>
    <xf numFmtId="3" fontId="0" fillId="4" borderId="6" xfId="0" applyNumberFormat="1" applyFill="1" applyBorder="1"/>
    <xf numFmtId="0" fontId="0" fillId="0" borderId="6" xfId="0" applyBorder="1"/>
    <xf numFmtId="0" fontId="1" fillId="0" borderId="6" xfId="0" applyFont="1" applyBorder="1"/>
    <xf numFmtId="3" fontId="0" fillId="0" borderId="7" xfId="0" applyNumberFormat="1" applyBorder="1"/>
    <xf numFmtId="3" fontId="0" fillId="4" borderId="7" xfId="0" applyNumberFormat="1" applyFill="1" applyBorder="1"/>
    <xf numFmtId="0" fontId="0" fillId="0" borderId="7" xfId="0" applyBorder="1"/>
    <xf numFmtId="0" fontId="9" fillId="0" borderId="7" xfId="0" applyFont="1" applyBorder="1"/>
    <xf numFmtId="3" fontId="0" fillId="0" borderId="3" xfId="0" applyNumberFormat="1" applyBorder="1"/>
    <xf numFmtId="3" fontId="0" fillId="4" borderId="3" xfId="0" applyNumberFormat="1" applyFill="1" applyBorder="1"/>
    <xf numFmtId="0" fontId="0" fillId="0" borderId="3" xfId="0" applyBorder="1"/>
    <xf numFmtId="0" fontId="10" fillId="0" borderId="3" xfId="0" applyFont="1" applyBorder="1"/>
    <xf numFmtId="3" fontId="1" fillId="2" borderId="0" xfId="0" applyNumberFormat="1" applyFont="1" applyFill="1"/>
    <xf numFmtId="3" fontId="1" fillId="2" borderId="3" xfId="0" applyNumberFormat="1" applyFont="1" applyFill="1" applyBorder="1"/>
    <xf numFmtId="3" fontId="0" fillId="4" borderId="0" xfId="0" applyNumberFormat="1" applyFill="1"/>
    <xf numFmtId="0" fontId="0" fillId="0" borderId="8" xfId="0" applyBorder="1"/>
    <xf numFmtId="3" fontId="0" fillId="0" borderId="9" xfId="0" applyNumberFormat="1" applyBorder="1"/>
    <xf numFmtId="3" fontId="0" fillId="4" borderId="9" xfId="0" applyNumberFormat="1" applyFill="1" applyBorder="1"/>
    <xf numFmtId="0" fontId="0" fillId="0" borderId="9" xfId="0" applyBorder="1"/>
    <xf numFmtId="0" fontId="8" fillId="0" borderId="9" xfId="0" applyFont="1" applyBorder="1"/>
    <xf numFmtId="0" fontId="0" fillId="5" borderId="3" xfId="0" applyFill="1" applyBorder="1"/>
    <xf numFmtId="0" fontId="8" fillId="0" borderId="8" xfId="0" applyFont="1" applyBorder="1"/>
    <xf numFmtId="3" fontId="1" fillId="2" borderId="7" xfId="0" applyNumberFormat="1" applyFont="1" applyFill="1" applyBorder="1"/>
    <xf numFmtId="0" fontId="0" fillId="0" borderId="10" xfId="0" applyBorder="1"/>
    <xf numFmtId="0" fontId="8" fillId="0" borderId="11" xfId="0" applyFont="1" applyBorder="1"/>
    <xf numFmtId="0" fontId="0" fillId="4" borderId="0" xfId="0" applyFill="1"/>
    <xf numFmtId="3" fontId="0" fillId="0" borderId="12" xfId="0" applyNumberFormat="1" applyBorder="1"/>
    <xf numFmtId="3" fontId="0" fillId="4" borderId="12" xfId="0" applyNumberFormat="1" applyFill="1" applyBorder="1"/>
    <xf numFmtId="0" fontId="0" fillId="0" borderId="12" xfId="0" applyBorder="1"/>
    <xf numFmtId="3" fontId="1" fillId="0" borderId="0" xfId="0" applyNumberFormat="1" applyFont="1"/>
    <xf numFmtId="0" fontId="10" fillId="0" borderId="12" xfId="0" applyFont="1" applyBorder="1"/>
    <xf numFmtId="166" fontId="0" fillId="0" borderId="3" xfId="0" applyNumberFormat="1" applyBorder="1" applyAlignment="1">
      <alignment horizontal="left"/>
    </xf>
    <xf numFmtId="0" fontId="8" fillId="6" borderId="8" xfId="0" applyFont="1" applyFill="1" applyBorder="1"/>
    <xf numFmtId="3" fontId="0" fillId="0" borderId="13" xfId="0" applyNumberFormat="1" applyBorder="1"/>
    <xf numFmtId="3" fontId="0" fillId="4" borderId="13" xfId="0" applyNumberFormat="1" applyFill="1" applyBorder="1"/>
    <xf numFmtId="0" fontId="0" fillId="0" borderId="13" xfId="0" applyBorder="1"/>
    <xf numFmtId="0" fontId="8" fillId="0" borderId="13" xfId="0" applyFont="1" applyBorder="1"/>
    <xf numFmtId="3" fontId="0" fillId="0" borderId="14" xfId="0" applyNumberFormat="1" applyBorder="1"/>
    <xf numFmtId="3" fontId="0" fillId="4" borderId="14" xfId="0" applyNumberFormat="1" applyFill="1" applyBorder="1"/>
    <xf numFmtId="0" fontId="0" fillId="0" borderId="14" xfId="0" applyBorder="1"/>
    <xf numFmtId="0" fontId="11" fillId="0" borderId="14" xfId="0" applyFont="1" applyBorder="1"/>
    <xf numFmtId="3" fontId="1" fillId="2" borderId="14" xfId="0" applyNumberFormat="1" applyFont="1" applyFill="1" applyBorder="1"/>
    <xf numFmtId="0" fontId="1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41" fontId="3" fillId="0" borderId="0" xfId="1" applyNumberFormat="1"/>
    <xf numFmtId="0" fontId="13" fillId="0" borderId="0" xfId="1" applyFont="1"/>
    <xf numFmtId="0" fontId="14" fillId="0" borderId="0" xfId="0" applyFont="1"/>
    <xf numFmtId="3" fontId="1" fillId="7" borderId="0" xfId="0" applyNumberFormat="1" applyFont="1" applyFill="1"/>
    <xf numFmtId="3" fontId="1" fillId="7" borderId="3" xfId="0" applyNumberFormat="1" applyFont="1" applyFill="1" applyBorder="1"/>
    <xf numFmtId="3" fontId="1" fillId="2" borderId="12" xfId="0" applyNumberFormat="1" applyFont="1" applyFill="1" applyBorder="1"/>
    <xf numFmtId="3" fontId="1" fillId="3" borderId="0" xfId="0" applyNumberFormat="1" applyFont="1" applyFill="1"/>
    <xf numFmtId="3" fontId="1" fillId="3" borderId="3" xfId="0" applyNumberFormat="1" applyFont="1" applyFill="1" applyBorder="1"/>
    <xf numFmtId="3" fontId="1" fillId="3" borderId="14" xfId="0" applyNumberFormat="1" applyFont="1" applyFill="1" applyBorder="1"/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8" fillId="8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3" fontId="20" fillId="0" borderId="15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1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3" fontId="20" fillId="8" borderId="17" xfId="0" applyNumberFormat="1" applyFont="1" applyFill="1" applyBorder="1" applyAlignment="1">
      <alignment horizontal="right" vertical="center"/>
    </xf>
    <xf numFmtId="3" fontId="20" fillId="0" borderId="17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right" vertical="center"/>
    </xf>
    <xf numFmtId="0" fontId="20" fillId="8" borderId="17" xfId="0" applyFont="1" applyFill="1" applyBorder="1" applyAlignment="1">
      <alignment vertical="center"/>
    </xf>
    <xf numFmtId="0" fontId="20" fillId="8" borderId="17" xfId="0" applyFont="1" applyFill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3" fontId="20" fillId="8" borderId="20" xfId="0" applyNumberFormat="1" applyFont="1" applyFill="1" applyBorder="1" applyAlignment="1">
      <alignment horizontal="right" vertical="center"/>
    </xf>
    <xf numFmtId="3" fontId="20" fillId="0" borderId="20" xfId="0" applyNumberFormat="1" applyFont="1" applyBorder="1" applyAlignment="1">
      <alignment horizontal="right" vertical="center"/>
    </xf>
    <xf numFmtId="0" fontId="20" fillId="8" borderId="0" xfId="0" applyFont="1" applyFill="1" applyAlignment="1">
      <alignment vertical="center"/>
    </xf>
    <xf numFmtId="0" fontId="8" fillId="5" borderId="21" xfId="0" applyFont="1" applyFill="1" applyBorder="1" applyAlignment="1">
      <alignment vertical="center"/>
    </xf>
    <xf numFmtId="3" fontId="20" fillId="8" borderId="16" xfId="0" applyNumberFormat="1" applyFont="1" applyFill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8" borderId="23" xfId="0" applyFont="1" applyFill="1" applyBorder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0" fontId="20" fillId="0" borderId="21" xfId="0" applyFont="1" applyBorder="1" applyAlignment="1">
      <alignment vertical="center"/>
    </xf>
    <xf numFmtId="0" fontId="20" fillId="8" borderId="16" xfId="0" applyFont="1" applyFill="1" applyBorder="1" applyAlignment="1">
      <alignment vertical="center"/>
    </xf>
    <xf numFmtId="0" fontId="20" fillId="0" borderId="24" xfId="0" applyFont="1" applyBorder="1" applyAlignment="1">
      <alignment vertical="center"/>
    </xf>
    <xf numFmtId="3" fontId="20" fillId="8" borderId="24" xfId="0" applyNumberFormat="1" applyFont="1" applyFill="1" applyBorder="1" applyAlignment="1">
      <alignment horizontal="right" vertical="center"/>
    </xf>
    <xf numFmtId="3" fontId="20" fillId="0" borderId="24" xfId="0" applyNumberFormat="1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8" borderId="24" xfId="0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3" fontId="20" fillId="8" borderId="26" xfId="0" applyNumberFormat="1" applyFont="1" applyFill="1" applyBorder="1" applyAlignment="1">
      <alignment horizontal="right" vertical="center"/>
    </xf>
    <xf numFmtId="3" fontId="20" fillId="0" borderId="26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20" fillId="8" borderId="23" xfId="0" applyFont="1" applyFill="1" applyBorder="1" applyAlignment="1">
      <alignment vertical="center"/>
    </xf>
    <xf numFmtId="3" fontId="20" fillId="0" borderId="23" xfId="0" applyNumberFormat="1" applyFont="1" applyBorder="1" applyAlignment="1">
      <alignment horizontal="right" vertical="center"/>
    </xf>
    <xf numFmtId="3" fontId="20" fillId="8" borderId="23" xfId="0" applyNumberFormat="1" applyFont="1" applyFill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3" fontId="20" fillId="8" borderId="0" xfId="0" applyNumberFormat="1" applyFont="1" applyFill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28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3" fontId="20" fillId="8" borderId="29" xfId="0" applyNumberFormat="1" applyFont="1" applyFill="1" applyBorder="1" applyAlignment="1">
      <alignment horizontal="right" vertical="center"/>
    </xf>
    <xf numFmtId="3" fontId="20" fillId="0" borderId="29" xfId="0" applyNumberFormat="1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20" fillId="5" borderId="18" xfId="0" applyFont="1" applyFill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6" fontId="20" fillId="0" borderId="17" xfId="0" applyNumberFormat="1" applyFont="1" applyBorder="1" applyAlignment="1">
      <alignment horizontal="right" vertical="center"/>
    </xf>
    <xf numFmtId="3" fontId="21" fillId="0" borderId="17" xfId="0" applyNumberFormat="1" applyFont="1" applyBorder="1" applyAlignment="1">
      <alignment horizontal="right" vertical="center"/>
    </xf>
    <xf numFmtId="3" fontId="21" fillId="8" borderId="17" xfId="0" applyNumberFormat="1" applyFont="1" applyFill="1" applyBorder="1" applyAlignment="1">
      <alignment horizontal="right" vertical="center"/>
    </xf>
    <xf numFmtId="3" fontId="21" fillId="8" borderId="16" xfId="0" applyNumberFormat="1" applyFont="1" applyFill="1" applyBorder="1" applyAlignment="1">
      <alignment horizontal="right" vertical="center"/>
    </xf>
    <xf numFmtId="0" fontId="21" fillId="8" borderId="17" xfId="0" applyFont="1" applyFill="1" applyBorder="1" applyAlignment="1">
      <alignment horizontal="right" vertical="center"/>
    </xf>
    <xf numFmtId="3" fontId="21" fillId="8" borderId="24" xfId="0" applyNumberFormat="1" applyFont="1" applyFill="1" applyBorder="1" applyAlignment="1">
      <alignment horizontal="right" vertical="center"/>
    </xf>
    <xf numFmtId="6" fontId="21" fillId="0" borderId="17" xfId="0" applyNumberFormat="1" applyFont="1" applyBorder="1" applyAlignment="1">
      <alignment horizontal="right" vertical="center"/>
    </xf>
    <xf numFmtId="3" fontId="21" fillId="8" borderId="23" xfId="0" applyNumberFormat="1" applyFont="1" applyFill="1" applyBorder="1" applyAlignment="1">
      <alignment horizontal="right" vertical="center"/>
    </xf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6" fillId="0" borderId="1" xfId="1" applyFont="1" applyBorder="1" applyAlignment="1">
      <alignment horizontal="center" wrapText="1"/>
    </xf>
    <xf numFmtId="0" fontId="3" fillId="0" borderId="0" xfId="1" applyAlignment="1">
      <alignment wrapText="1"/>
    </xf>
    <xf numFmtId="0" fontId="3" fillId="0" borderId="0" xfId="1"/>
    <xf numFmtId="0" fontId="2" fillId="2" borderId="0" xfId="1" applyFont="1" applyFill="1" applyAlignment="1">
      <alignment horizontal="left" wrapText="1"/>
    </xf>
    <xf numFmtId="0" fontId="2" fillId="0" borderId="0" xfId="1" applyFont="1" applyFill="1" applyAlignment="1">
      <alignment horizontal="left" wrapText="1"/>
    </xf>
    <xf numFmtId="165" fontId="2" fillId="0" borderId="2" xfId="1" applyNumberFormat="1" applyFont="1" applyFill="1" applyBorder="1" applyAlignment="1">
      <alignment horizontal="right" wrapText="1"/>
    </xf>
    <xf numFmtId="164" fontId="7" fillId="0" borderId="0" xfId="1" applyNumberFormat="1" applyFont="1" applyFill="1" applyAlignment="1">
      <alignment horizontal="right" wrapText="1"/>
    </xf>
    <xf numFmtId="164" fontId="7" fillId="0" borderId="0" xfId="1" applyNumberFormat="1" applyFont="1" applyFill="1" applyAlignment="1">
      <alignment wrapText="1"/>
    </xf>
    <xf numFmtId="165" fontId="2" fillId="0" borderId="0" xfId="1" applyNumberFormat="1" applyFont="1" applyFill="1" applyBorder="1" applyAlignment="1">
      <alignment horizontal="right" wrapText="1"/>
    </xf>
    <xf numFmtId="165" fontId="2" fillId="2" borderId="4" xfId="1" applyNumberFormat="1" applyFont="1" applyFill="1" applyBorder="1" applyAlignment="1">
      <alignment horizontal="right" wrapText="1"/>
    </xf>
    <xf numFmtId="165" fontId="2" fillId="0" borderId="0" xfId="1" applyNumberFormat="1" applyFont="1" applyBorder="1" applyAlignment="1">
      <alignment horizontal="right" wrapText="1"/>
    </xf>
    <xf numFmtId="0" fontId="4" fillId="0" borderId="0" xfId="1" applyFont="1" applyAlignment="1">
      <alignment horizontal="center"/>
    </xf>
    <xf numFmtId="0" fontId="3" fillId="0" borderId="0" xfId="1" applyAlignme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7"/>
  <sheetViews>
    <sheetView topLeftCell="A91" workbookViewId="0">
      <selection activeCell="H110" sqref="H110"/>
    </sheetView>
  </sheetViews>
  <sheetFormatPr defaultColWidth="11.42578125" defaultRowHeight="15" x14ac:dyDescent="0.25"/>
  <sheetData>
    <row r="1" spans="1:6" ht="15.75" x14ac:dyDescent="0.25">
      <c r="A1" s="69"/>
    </row>
    <row r="2" spans="1:6" x14ac:dyDescent="0.25">
      <c r="A2" s="70"/>
      <c r="B2" s="70"/>
      <c r="C2" s="71" t="s">
        <v>0</v>
      </c>
      <c r="D2" s="70"/>
      <c r="E2" s="71" t="s">
        <v>0</v>
      </c>
      <c r="F2" s="70"/>
    </row>
    <row r="3" spans="1:6" x14ac:dyDescent="0.25">
      <c r="A3" s="70"/>
      <c r="B3" s="70"/>
      <c r="C3" s="71" t="s">
        <v>1</v>
      </c>
      <c r="D3" s="72" t="s">
        <v>0</v>
      </c>
      <c r="E3" s="71" t="s">
        <v>2</v>
      </c>
      <c r="F3" s="72" t="s">
        <v>0</v>
      </c>
    </row>
    <row r="4" spans="1:6" ht="15.75" thickBot="1" x14ac:dyDescent="0.3">
      <c r="A4" s="70"/>
      <c r="B4" s="70"/>
      <c r="C4" s="71" t="s">
        <v>3</v>
      </c>
      <c r="D4" s="72" t="s">
        <v>4</v>
      </c>
      <c r="E4" s="71" t="s">
        <v>3</v>
      </c>
      <c r="F4" s="73" t="s">
        <v>5</v>
      </c>
    </row>
    <row r="5" spans="1:6" ht="15.75" thickBot="1" x14ac:dyDescent="0.3">
      <c r="A5" s="74" t="s">
        <v>6</v>
      </c>
      <c r="B5" s="70"/>
      <c r="C5" s="75">
        <v>18930</v>
      </c>
      <c r="D5" s="76">
        <v>0</v>
      </c>
      <c r="E5" s="76">
        <v>0</v>
      </c>
      <c r="F5" s="77">
        <v>-18930</v>
      </c>
    </row>
    <row r="6" spans="1:6" ht="15.75" thickBot="1" x14ac:dyDescent="0.3">
      <c r="A6" s="78" t="s">
        <v>7</v>
      </c>
      <c r="B6" s="79"/>
      <c r="C6" s="80">
        <v>240000</v>
      </c>
      <c r="D6" s="81">
        <v>233500</v>
      </c>
      <c r="E6" s="133">
        <v>233500</v>
      </c>
      <c r="F6" s="82">
        <v>-6500</v>
      </c>
    </row>
    <row r="7" spans="1:6" ht="15.75" thickBot="1" x14ac:dyDescent="0.3">
      <c r="A7" s="83" t="s">
        <v>8</v>
      </c>
      <c r="B7" s="84"/>
      <c r="C7" s="80">
        <v>40000</v>
      </c>
      <c r="D7" s="81">
        <v>45790</v>
      </c>
      <c r="E7" s="134">
        <v>45790</v>
      </c>
      <c r="F7" s="81">
        <v>5790</v>
      </c>
    </row>
    <row r="8" spans="1:6" ht="15.75" thickBot="1" x14ac:dyDescent="0.3">
      <c r="A8" s="83" t="s">
        <v>9</v>
      </c>
      <c r="B8" s="84"/>
      <c r="C8" s="80">
        <v>1500</v>
      </c>
      <c r="D8" s="81">
        <v>1500</v>
      </c>
      <c r="E8" s="80">
        <v>1500</v>
      </c>
      <c r="F8" s="85">
        <v>0</v>
      </c>
    </row>
    <row r="9" spans="1:6" ht="15.75" thickBot="1" x14ac:dyDescent="0.3">
      <c r="A9" s="83" t="s">
        <v>10</v>
      </c>
      <c r="B9" s="84"/>
      <c r="C9" s="80">
        <v>34000</v>
      </c>
      <c r="D9" s="81">
        <v>31000</v>
      </c>
      <c r="E9" s="134">
        <v>31000</v>
      </c>
      <c r="F9" s="81">
        <v>-3000</v>
      </c>
    </row>
    <row r="10" spans="1:6" ht="15.75" thickBot="1" x14ac:dyDescent="0.3">
      <c r="A10" s="83" t="s">
        <v>11</v>
      </c>
      <c r="B10" s="84"/>
      <c r="C10" s="80">
        <v>35000</v>
      </c>
      <c r="D10" s="81">
        <v>30000</v>
      </c>
      <c r="E10" s="134">
        <v>30000</v>
      </c>
      <c r="F10" s="81">
        <v>-5000</v>
      </c>
    </row>
    <row r="11" spans="1:6" ht="15.75" thickBot="1" x14ac:dyDescent="0.3">
      <c r="A11" s="83" t="s">
        <v>12</v>
      </c>
      <c r="B11" s="84"/>
      <c r="C11" s="86"/>
      <c r="D11" s="81">
        <v>4570</v>
      </c>
      <c r="E11" s="134">
        <v>4570</v>
      </c>
      <c r="F11" s="81">
        <v>4570</v>
      </c>
    </row>
    <row r="12" spans="1:6" ht="15.75" thickBot="1" x14ac:dyDescent="0.3">
      <c r="A12" s="83" t="s">
        <v>13</v>
      </c>
      <c r="B12" s="84"/>
      <c r="C12" s="80">
        <v>91200</v>
      </c>
      <c r="D12" s="81">
        <v>92100</v>
      </c>
      <c r="E12" s="134">
        <v>92100</v>
      </c>
      <c r="F12" s="85">
        <v>900</v>
      </c>
    </row>
    <row r="13" spans="1:6" ht="15.75" thickBot="1" x14ac:dyDescent="0.3">
      <c r="A13" s="83" t="s">
        <v>14</v>
      </c>
      <c r="B13" s="84"/>
      <c r="C13" s="80">
        <v>14000</v>
      </c>
      <c r="D13" s="81">
        <v>14000</v>
      </c>
      <c r="E13" s="80">
        <v>14000</v>
      </c>
      <c r="F13" s="85">
        <v>0</v>
      </c>
    </row>
    <row r="14" spans="1:6" ht="15.75" thickBot="1" x14ac:dyDescent="0.3">
      <c r="A14" s="83" t="s">
        <v>15</v>
      </c>
      <c r="B14" s="84"/>
      <c r="C14" s="80">
        <v>1500</v>
      </c>
      <c r="D14" s="81">
        <v>1500</v>
      </c>
      <c r="E14" s="80">
        <v>1500</v>
      </c>
      <c r="F14" s="85">
        <v>0</v>
      </c>
    </row>
    <row r="15" spans="1:6" ht="15.75" thickBot="1" x14ac:dyDescent="0.3">
      <c r="A15" s="83" t="s">
        <v>16</v>
      </c>
      <c r="B15" s="84"/>
      <c r="C15" s="87">
        <v>500</v>
      </c>
      <c r="D15" s="85">
        <v>500</v>
      </c>
      <c r="E15" s="87">
        <v>500</v>
      </c>
      <c r="F15" s="85">
        <v>0</v>
      </c>
    </row>
    <row r="16" spans="1:6" ht="15.75" thickBot="1" x14ac:dyDescent="0.3">
      <c r="A16" s="83" t="s">
        <v>17</v>
      </c>
      <c r="B16" s="84"/>
      <c r="C16" s="87">
        <v>400</v>
      </c>
      <c r="D16" s="81">
        <v>13000</v>
      </c>
      <c r="E16" s="134">
        <v>13000</v>
      </c>
      <c r="F16" s="81">
        <v>12600</v>
      </c>
    </row>
    <row r="17" spans="1:6" ht="15.75" thickBot="1" x14ac:dyDescent="0.3">
      <c r="A17" s="83" t="s">
        <v>18</v>
      </c>
      <c r="B17" s="84"/>
      <c r="C17" s="86"/>
      <c r="D17" s="84"/>
      <c r="E17" s="86"/>
      <c r="F17" s="84"/>
    </row>
    <row r="18" spans="1:6" ht="15.75" thickBot="1" x14ac:dyDescent="0.3">
      <c r="A18" s="83" t="s">
        <v>19</v>
      </c>
      <c r="B18" s="84"/>
      <c r="C18" s="86"/>
      <c r="D18" s="84"/>
      <c r="E18" s="86"/>
      <c r="F18" s="84"/>
    </row>
    <row r="19" spans="1:6" ht="15.75" thickBot="1" x14ac:dyDescent="0.3">
      <c r="A19" s="83" t="s">
        <v>20</v>
      </c>
      <c r="B19" s="84"/>
      <c r="C19" s="86"/>
      <c r="D19" s="84"/>
      <c r="E19" s="86"/>
      <c r="F19" s="84"/>
    </row>
    <row r="20" spans="1:6" ht="15.75" thickBot="1" x14ac:dyDescent="0.3">
      <c r="A20" s="83" t="s">
        <v>21</v>
      </c>
      <c r="B20" s="84"/>
      <c r="C20" s="80">
        <v>14000</v>
      </c>
      <c r="D20" s="81">
        <v>16500</v>
      </c>
      <c r="E20" s="134">
        <v>16500</v>
      </c>
      <c r="F20" s="81">
        <v>2500</v>
      </c>
    </row>
    <row r="21" spans="1:6" ht="15.75" thickBot="1" x14ac:dyDescent="0.3">
      <c r="A21" s="88" t="s">
        <v>22</v>
      </c>
      <c r="B21" s="84"/>
      <c r="C21" s="87">
        <v>300</v>
      </c>
      <c r="D21" s="81">
        <v>1100</v>
      </c>
      <c r="E21" s="134">
        <v>1100</v>
      </c>
      <c r="F21" s="85">
        <v>800</v>
      </c>
    </row>
    <row r="22" spans="1:6" ht="15.75" thickBot="1" x14ac:dyDescent="0.3">
      <c r="A22" s="83" t="s">
        <v>23</v>
      </c>
      <c r="B22" s="84"/>
      <c r="C22" s="80">
        <v>4000</v>
      </c>
      <c r="D22" s="81">
        <v>4000</v>
      </c>
      <c r="E22" s="80">
        <v>4000</v>
      </c>
      <c r="F22" s="85">
        <v>0</v>
      </c>
    </row>
    <row r="23" spans="1:6" ht="15.75" thickBot="1" x14ac:dyDescent="0.3">
      <c r="A23" s="83" t="s">
        <v>24</v>
      </c>
      <c r="B23" s="84"/>
      <c r="C23" s="80">
        <v>3010</v>
      </c>
      <c r="D23" s="81">
        <v>6250</v>
      </c>
      <c r="E23" s="134">
        <v>6250</v>
      </c>
      <c r="F23" s="81">
        <v>3240</v>
      </c>
    </row>
    <row r="24" spans="1:6" ht="15.75" thickBot="1" x14ac:dyDescent="0.3">
      <c r="A24" s="83" t="s">
        <v>25</v>
      </c>
      <c r="B24" s="84"/>
      <c r="C24" s="86"/>
      <c r="D24" s="84"/>
      <c r="E24" s="86"/>
      <c r="F24" s="84"/>
    </row>
    <row r="25" spans="1:6" ht="15.75" thickBot="1" x14ac:dyDescent="0.3">
      <c r="A25" s="83" t="s">
        <v>26</v>
      </c>
      <c r="B25" s="84"/>
      <c r="C25" s="80">
        <v>1000</v>
      </c>
      <c r="D25" s="81">
        <v>2000</v>
      </c>
      <c r="E25" s="134">
        <v>2000</v>
      </c>
      <c r="F25" s="81">
        <v>1000</v>
      </c>
    </row>
    <row r="26" spans="1:6" ht="15.75" thickBot="1" x14ac:dyDescent="0.3">
      <c r="A26" s="88" t="s">
        <v>27</v>
      </c>
      <c r="B26" s="84"/>
      <c r="C26" s="80">
        <v>5000</v>
      </c>
      <c r="D26" s="81">
        <v>5000</v>
      </c>
      <c r="E26" s="80">
        <v>5000</v>
      </c>
      <c r="F26" s="85">
        <v>0</v>
      </c>
    </row>
    <row r="27" spans="1:6" ht="15.75" thickBot="1" x14ac:dyDescent="0.3">
      <c r="A27" s="89" t="s">
        <v>28</v>
      </c>
      <c r="B27" s="90"/>
      <c r="C27" s="91">
        <v>504340</v>
      </c>
      <c r="D27" s="92">
        <v>502310</v>
      </c>
      <c r="E27" s="91">
        <v>502310</v>
      </c>
      <c r="F27" s="92">
        <v>-2030</v>
      </c>
    </row>
    <row r="28" spans="1:6" ht="15.75" thickTop="1" x14ac:dyDescent="0.25">
      <c r="A28" s="70"/>
      <c r="B28" s="70"/>
      <c r="C28" s="93"/>
      <c r="D28" s="70"/>
      <c r="E28" s="93"/>
      <c r="F28" s="70"/>
    </row>
    <row r="29" spans="1:6" ht="15.75" thickBot="1" x14ac:dyDescent="0.3">
      <c r="A29" s="94" t="s">
        <v>29</v>
      </c>
      <c r="B29" s="70"/>
      <c r="C29" s="93"/>
      <c r="D29" s="70"/>
      <c r="E29" s="93"/>
      <c r="F29" s="70"/>
    </row>
    <row r="30" spans="1:6" ht="15.75" thickBot="1" x14ac:dyDescent="0.3">
      <c r="A30" s="78" t="s">
        <v>30</v>
      </c>
      <c r="B30" s="79"/>
      <c r="C30" s="95">
        <v>135065</v>
      </c>
      <c r="D30" s="82">
        <v>131760</v>
      </c>
      <c r="E30" s="135">
        <v>131760</v>
      </c>
      <c r="F30" s="82">
        <v>-3305</v>
      </c>
    </row>
    <row r="31" spans="1:6" ht="15.75" thickBot="1" x14ac:dyDescent="0.3">
      <c r="A31" s="83" t="s">
        <v>31</v>
      </c>
      <c r="B31" s="84"/>
      <c r="C31" s="80">
        <v>8350</v>
      </c>
      <c r="D31" s="81">
        <v>8350</v>
      </c>
      <c r="E31" s="80">
        <v>8350</v>
      </c>
      <c r="F31" s="85">
        <v>0</v>
      </c>
    </row>
    <row r="32" spans="1:6" ht="15.75" thickBot="1" x14ac:dyDescent="0.3">
      <c r="A32" s="83" t="s">
        <v>32</v>
      </c>
      <c r="B32" s="84"/>
      <c r="C32" s="80">
        <v>1200</v>
      </c>
      <c r="D32" s="81">
        <v>1200</v>
      </c>
      <c r="E32" s="80">
        <v>1200</v>
      </c>
      <c r="F32" s="85">
        <v>0</v>
      </c>
    </row>
    <row r="33" spans="1:6" ht="15.75" thickBot="1" x14ac:dyDescent="0.3">
      <c r="A33" s="83" t="s">
        <v>33</v>
      </c>
      <c r="B33" s="84"/>
      <c r="C33" s="87">
        <v>840</v>
      </c>
      <c r="D33" s="85">
        <v>840</v>
      </c>
      <c r="E33" s="87">
        <v>840</v>
      </c>
      <c r="F33" s="85">
        <v>0</v>
      </c>
    </row>
    <row r="34" spans="1:6" ht="15.75" thickBot="1" x14ac:dyDescent="0.3">
      <c r="A34" s="83" t="s">
        <v>34</v>
      </c>
      <c r="B34" s="84"/>
      <c r="C34" s="80">
        <v>11585</v>
      </c>
      <c r="D34" s="81">
        <v>11500</v>
      </c>
      <c r="E34" s="134">
        <v>11500</v>
      </c>
      <c r="F34" s="85">
        <v>-85</v>
      </c>
    </row>
    <row r="35" spans="1:6" ht="15.75" thickBot="1" x14ac:dyDescent="0.3">
      <c r="A35" s="83" t="s">
        <v>35</v>
      </c>
      <c r="B35" s="84"/>
      <c r="C35" s="80">
        <v>5100</v>
      </c>
      <c r="D35" s="81">
        <v>5100</v>
      </c>
      <c r="E35" s="80">
        <v>5100</v>
      </c>
      <c r="F35" s="85">
        <v>0</v>
      </c>
    </row>
    <row r="36" spans="1:6" ht="15.75" thickBot="1" x14ac:dyDescent="0.3">
      <c r="A36" s="96" t="s">
        <v>36</v>
      </c>
      <c r="B36" s="97"/>
      <c r="C36" s="98">
        <v>130</v>
      </c>
      <c r="D36" s="99">
        <v>130</v>
      </c>
      <c r="E36" s="98">
        <v>130</v>
      </c>
      <c r="F36" s="99">
        <v>0</v>
      </c>
    </row>
    <row r="37" spans="1:6" ht="16.5" thickTop="1" thickBot="1" x14ac:dyDescent="0.3">
      <c r="A37" s="89" t="s">
        <v>37</v>
      </c>
      <c r="B37" s="90"/>
      <c r="C37" s="91">
        <v>162270</v>
      </c>
      <c r="D37" s="92">
        <v>158880</v>
      </c>
      <c r="E37" s="91">
        <v>158880</v>
      </c>
      <c r="F37" s="92">
        <v>-3390</v>
      </c>
    </row>
    <row r="38" spans="1:6" ht="16.5" thickTop="1" thickBot="1" x14ac:dyDescent="0.3">
      <c r="A38" s="100"/>
      <c r="B38" s="70"/>
      <c r="C38" s="93"/>
      <c r="D38" s="70"/>
      <c r="E38" s="93"/>
      <c r="F38" s="70"/>
    </row>
    <row r="39" spans="1:6" ht="15.75" thickBot="1" x14ac:dyDescent="0.3">
      <c r="A39" s="78" t="s">
        <v>38</v>
      </c>
      <c r="B39" s="79"/>
      <c r="C39" s="101"/>
      <c r="D39" s="79"/>
      <c r="E39" s="101"/>
      <c r="F39" s="79"/>
    </row>
    <row r="40" spans="1:6" ht="15.75" thickBot="1" x14ac:dyDescent="0.3">
      <c r="A40" s="83" t="s">
        <v>39</v>
      </c>
      <c r="B40" s="84"/>
      <c r="C40" s="80">
        <v>2500</v>
      </c>
      <c r="D40" s="81">
        <v>2700</v>
      </c>
      <c r="E40" s="134">
        <v>2700</v>
      </c>
      <c r="F40" s="85">
        <v>200</v>
      </c>
    </row>
    <row r="41" spans="1:6" ht="15.75" thickBot="1" x14ac:dyDescent="0.3">
      <c r="A41" s="83" t="s">
        <v>40</v>
      </c>
      <c r="B41" s="84"/>
      <c r="C41" s="86"/>
      <c r="D41" s="85">
        <v>770</v>
      </c>
      <c r="E41" s="136">
        <v>770</v>
      </c>
      <c r="F41" s="85">
        <v>770</v>
      </c>
    </row>
    <row r="42" spans="1:6" ht="15.75" thickBot="1" x14ac:dyDescent="0.3">
      <c r="A42" s="83" t="s">
        <v>41</v>
      </c>
      <c r="B42" s="84"/>
      <c r="C42" s="80">
        <v>7500</v>
      </c>
      <c r="D42" s="85">
        <v>630</v>
      </c>
      <c r="E42" s="136">
        <v>630</v>
      </c>
      <c r="F42" s="81">
        <v>-6870</v>
      </c>
    </row>
    <row r="43" spans="1:6" ht="15.75" thickBot="1" x14ac:dyDescent="0.3">
      <c r="A43" s="83" t="s">
        <v>42</v>
      </c>
      <c r="B43" s="84"/>
      <c r="C43" s="87">
        <v>0</v>
      </c>
      <c r="D43" s="85">
        <v>0</v>
      </c>
      <c r="E43" s="87">
        <v>0</v>
      </c>
      <c r="F43" s="85">
        <v>0</v>
      </c>
    </row>
    <row r="44" spans="1:6" ht="15.75" thickBot="1" x14ac:dyDescent="0.3">
      <c r="A44" s="83" t="s">
        <v>43</v>
      </c>
      <c r="B44" s="84"/>
      <c r="C44" s="80">
        <v>3500</v>
      </c>
      <c r="D44" s="81">
        <v>2800</v>
      </c>
      <c r="E44" s="134">
        <v>2800</v>
      </c>
      <c r="F44" s="85">
        <v>-700</v>
      </c>
    </row>
    <row r="45" spans="1:6" ht="15.75" thickBot="1" x14ac:dyDescent="0.3">
      <c r="A45" s="83" t="s">
        <v>44</v>
      </c>
      <c r="B45" s="84"/>
      <c r="C45" s="80">
        <v>1620</v>
      </c>
      <c r="D45" s="81">
        <v>1620</v>
      </c>
      <c r="E45" s="80">
        <v>1620</v>
      </c>
      <c r="F45" s="85">
        <v>0</v>
      </c>
    </row>
    <row r="46" spans="1:6" ht="15.75" thickBot="1" x14ac:dyDescent="0.3">
      <c r="A46" s="83" t="s">
        <v>45</v>
      </c>
      <c r="B46" s="84"/>
      <c r="C46" s="80">
        <v>4000</v>
      </c>
      <c r="D46" s="81">
        <v>4750</v>
      </c>
      <c r="E46" s="134">
        <v>4750</v>
      </c>
      <c r="F46" s="85">
        <v>750</v>
      </c>
    </row>
    <row r="47" spans="1:6" x14ac:dyDescent="0.25">
      <c r="A47" s="100" t="s">
        <v>46</v>
      </c>
      <c r="B47" s="102"/>
      <c r="C47" s="103">
        <v>1250</v>
      </c>
      <c r="D47" s="104">
        <v>1050</v>
      </c>
      <c r="E47" s="137">
        <v>1050</v>
      </c>
      <c r="F47" s="105">
        <v>-200</v>
      </c>
    </row>
    <row r="48" spans="1:6" ht="15.75" thickBot="1" x14ac:dyDescent="0.3">
      <c r="A48" s="100" t="s">
        <v>47</v>
      </c>
      <c r="B48" s="102"/>
      <c r="C48" s="106"/>
      <c r="D48" s="104">
        <v>4500</v>
      </c>
      <c r="E48" s="137">
        <v>4500</v>
      </c>
      <c r="F48" s="104">
        <v>4500</v>
      </c>
    </row>
    <row r="49" spans="1:6" ht="16.5" thickTop="1" thickBot="1" x14ac:dyDescent="0.3">
      <c r="A49" s="107" t="s">
        <v>48</v>
      </c>
      <c r="B49" s="108"/>
      <c r="C49" s="109">
        <v>20370</v>
      </c>
      <c r="D49" s="110">
        <v>18820</v>
      </c>
      <c r="E49" s="109">
        <v>18820</v>
      </c>
      <c r="F49" s="110">
        <v>-1550</v>
      </c>
    </row>
    <row r="50" spans="1:6" ht="15.75" thickBot="1" x14ac:dyDescent="0.3">
      <c r="A50" s="100"/>
      <c r="B50" s="70"/>
      <c r="C50" s="93"/>
      <c r="D50" s="70"/>
      <c r="E50" s="93"/>
      <c r="F50" s="70"/>
    </row>
    <row r="51" spans="1:6" ht="15.75" thickBot="1" x14ac:dyDescent="0.3">
      <c r="A51" s="78" t="s">
        <v>49</v>
      </c>
      <c r="B51" s="79"/>
      <c r="C51" s="95">
        <v>9000</v>
      </c>
      <c r="D51" s="82">
        <v>10910</v>
      </c>
      <c r="E51" s="135">
        <v>10910</v>
      </c>
      <c r="F51" s="82">
        <v>1910</v>
      </c>
    </row>
    <row r="52" spans="1:6" ht="15.75" thickBot="1" x14ac:dyDescent="0.3">
      <c r="A52" s="83" t="s">
        <v>50</v>
      </c>
      <c r="B52" s="84"/>
      <c r="C52" s="80">
        <v>1000</v>
      </c>
      <c r="D52" s="81">
        <v>1000</v>
      </c>
      <c r="E52" s="80">
        <v>1000</v>
      </c>
      <c r="F52" s="85">
        <v>0</v>
      </c>
    </row>
    <row r="53" spans="1:6" ht="15.75" thickBot="1" x14ac:dyDescent="0.3">
      <c r="A53" s="83" t="s">
        <v>51</v>
      </c>
      <c r="B53" s="84"/>
      <c r="C53" s="80">
        <v>6750</v>
      </c>
      <c r="D53" s="85">
        <v>500</v>
      </c>
      <c r="E53" s="136">
        <v>500</v>
      </c>
      <c r="F53" s="81">
        <v>-6250</v>
      </c>
    </row>
    <row r="54" spans="1:6" ht="15.75" thickBot="1" x14ac:dyDescent="0.3">
      <c r="A54" s="83" t="s">
        <v>52</v>
      </c>
      <c r="B54" s="84"/>
      <c r="C54" s="80">
        <v>10000</v>
      </c>
      <c r="D54" s="81">
        <v>14150</v>
      </c>
      <c r="E54" s="134">
        <v>14150</v>
      </c>
      <c r="F54" s="81">
        <v>4150</v>
      </c>
    </row>
    <row r="55" spans="1:6" ht="15.75" thickBot="1" x14ac:dyDescent="0.3">
      <c r="A55" s="83" t="s">
        <v>53</v>
      </c>
      <c r="B55" s="84"/>
      <c r="C55" s="80">
        <v>25000</v>
      </c>
      <c r="D55" s="81">
        <v>18000</v>
      </c>
      <c r="E55" s="134">
        <v>18000</v>
      </c>
      <c r="F55" s="81">
        <v>-7000</v>
      </c>
    </row>
    <row r="56" spans="1:6" ht="15.75" thickBot="1" x14ac:dyDescent="0.3">
      <c r="A56" s="111" t="s">
        <v>54</v>
      </c>
      <c r="B56" s="84"/>
      <c r="C56" s="86"/>
      <c r="D56" s="84"/>
      <c r="E56" s="86"/>
      <c r="F56" s="84"/>
    </row>
    <row r="57" spans="1:6" ht="15.75" thickBot="1" x14ac:dyDescent="0.3">
      <c r="A57" s="111" t="s">
        <v>55</v>
      </c>
      <c r="B57" s="84"/>
      <c r="C57" s="86"/>
      <c r="D57" s="84"/>
      <c r="E57" s="86"/>
      <c r="F57" s="84"/>
    </row>
    <row r="58" spans="1:6" ht="15.75" thickBot="1" x14ac:dyDescent="0.3">
      <c r="A58" s="111" t="s">
        <v>56</v>
      </c>
      <c r="B58" s="84"/>
      <c r="C58" s="86"/>
      <c r="D58" s="84"/>
      <c r="E58" s="86"/>
      <c r="F58" s="84"/>
    </row>
    <row r="59" spans="1:6" ht="15.75" thickBot="1" x14ac:dyDescent="0.3">
      <c r="A59" s="112" t="s">
        <v>57</v>
      </c>
      <c r="B59" s="84"/>
      <c r="C59" s="86"/>
      <c r="D59" s="81">
        <v>9000</v>
      </c>
      <c r="E59" s="134">
        <v>9000</v>
      </c>
      <c r="F59" s="81">
        <v>9000</v>
      </c>
    </row>
    <row r="60" spans="1:6" ht="15.75" thickBot="1" x14ac:dyDescent="0.3">
      <c r="A60" s="113" t="s">
        <v>58</v>
      </c>
      <c r="B60" s="97"/>
      <c r="C60" s="114"/>
      <c r="D60" s="115">
        <v>9000</v>
      </c>
      <c r="E60" s="139">
        <v>9000</v>
      </c>
      <c r="F60" s="115">
        <v>9000</v>
      </c>
    </row>
    <row r="61" spans="1:6" ht="16.5" thickTop="1" thickBot="1" x14ac:dyDescent="0.3">
      <c r="A61" s="117" t="s">
        <v>59</v>
      </c>
      <c r="B61" s="84"/>
      <c r="C61" s="80">
        <v>51750</v>
      </c>
      <c r="D61" s="81">
        <v>62560</v>
      </c>
      <c r="E61" s="80">
        <v>62560</v>
      </c>
      <c r="F61" s="81">
        <v>10810</v>
      </c>
    </row>
    <row r="62" spans="1:6" ht="15.75" thickBot="1" x14ac:dyDescent="0.3">
      <c r="A62" s="100"/>
      <c r="B62" s="70"/>
      <c r="C62" s="93"/>
      <c r="D62" s="70"/>
      <c r="E62" s="93"/>
      <c r="F62" s="70"/>
    </row>
    <row r="63" spans="1:6" ht="15.75" thickBot="1" x14ac:dyDescent="0.3">
      <c r="A63" s="78" t="s">
        <v>60</v>
      </c>
      <c r="B63" s="79"/>
      <c r="C63" s="95">
        <v>2500</v>
      </c>
      <c r="D63" s="82">
        <v>1000</v>
      </c>
      <c r="E63" s="135">
        <v>1000</v>
      </c>
      <c r="F63" s="82">
        <v>-1500</v>
      </c>
    </row>
    <row r="64" spans="1:6" ht="15.75" thickBot="1" x14ac:dyDescent="0.3">
      <c r="A64" s="83" t="s">
        <v>61</v>
      </c>
      <c r="B64" s="84"/>
      <c r="C64" s="80">
        <v>5500</v>
      </c>
      <c r="D64" s="81">
        <v>4000</v>
      </c>
      <c r="E64" s="134">
        <v>4000</v>
      </c>
      <c r="F64" s="81">
        <v>-1500</v>
      </c>
    </row>
    <row r="65" spans="1:6" ht="15.75" thickBot="1" x14ac:dyDescent="0.3">
      <c r="A65" s="83" t="s">
        <v>25</v>
      </c>
      <c r="B65" s="84"/>
      <c r="C65" s="80">
        <v>1000</v>
      </c>
      <c r="D65" s="85">
        <v>0</v>
      </c>
      <c r="E65" s="136">
        <v>0</v>
      </c>
      <c r="F65" s="81">
        <v>-1000</v>
      </c>
    </row>
    <row r="66" spans="1:6" ht="15.75" thickBot="1" x14ac:dyDescent="0.3">
      <c r="A66" s="83" t="s">
        <v>62</v>
      </c>
      <c r="B66" s="84"/>
      <c r="C66" s="80">
        <v>30000</v>
      </c>
      <c r="D66" s="81">
        <v>25000</v>
      </c>
      <c r="E66" s="134">
        <v>25000</v>
      </c>
      <c r="F66" s="81">
        <v>-5000</v>
      </c>
    </row>
    <row r="67" spans="1:6" ht="15.75" thickBot="1" x14ac:dyDescent="0.3">
      <c r="A67" s="83" t="s">
        <v>63</v>
      </c>
      <c r="B67" s="84"/>
      <c r="C67" s="80">
        <v>10000</v>
      </c>
      <c r="D67" s="85">
        <v>0</v>
      </c>
      <c r="E67" s="136">
        <v>0</v>
      </c>
      <c r="F67" s="81">
        <v>-10000</v>
      </c>
    </row>
    <row r="68" spans="1:6" ht="15.75" thickBot="1" x14ac:dyDescent="0.3">
      <c r="A68" s="83" t="s">
        <v>64</v>
      </c>
      <c r="B68" s="84"/>
      <c r="C68" s="80">
        <v>43100</v>
      </c>
      <c r="D68" s="81">
        <v>43100</v>
      </c>
      <c r="E68" s="80">
        <v>43100</v>
      </c>
      <c r="F68" s="85">
        <v>0</v>
      </c>
    </row>
    <row r="69" spans="1:6" ht="15.75" thickBot="1" x14ac:dyDescent="0.3">
      <c r="A69" s="83" t="s">
        <v>65</v>
      </c>
      <c r="B69" s="84"/>
      <c r="C69" s="80">
        <v>1200</v>
      </c>
      <c r="D69" s="81">
        <v>2000</v>
      </c>
      <c r="E69" s="134">
        <v>2000</v>
      </c>
      <c r="F69" s="85">
        <v>800</v>
      </c>
    </row>
    <row r="70" spans="1:6" ht="15.75" thickBot="1" x14ac:dyDescent="0.3">
      <c r="A70" s="83" t="s">
        <v>66</v>
      </c>
      <c r="B70" s="84"/>
      <c r="C70" s="80">
        <v>7000</v>
      </c>
      <c r="D70" s="85">
        <v>0</v>
      </c>
      <c r="E70" s="136">
        <v>0</v>
      </c>
      <c r="F70" s="81">
        <v>-7000</v>
      </c>
    </row>
    <row r="71" spans="1:6" ht="15.75" thickBot="1" x14ac:dyDescent="0.3">
      <c r="A71" s="100" t="s">
        <v>67</v>
      </c>
      <c r="B71" s="102"/>
      <c r="C71" s="103">
        <v>5200</v>
      </c>
      <c r="D71" s="104">
        <v>5200</v>
      </c>
      <c r="E71" s="103">
        <v>5200</v>
      </c>
      <c r="F71" s="105">
        <v>0</v>
      </c>
    </row>
    <row r="72" spans="1:6" ht="16.5" thickTop="1" thickBot="1" x14ac:dyDescent="0.3">
      <c r="A72" s="107" t="s">
        <v>68</v>
      </c>
      <c r="B72" s="108"/>
      <c r="C72" s="109">
        <v>105500</v>
      </c>
      <c r="D72" s="110">
        <v>80300</v>
      </c>
      <c r="E72" s="109">
        <v>80300</v>
      </c>
      <c r="F72" s="110">
        <v>-25200</v>
      </c>
    </row>
    <row r="73" spans="1:6" ht="15.75" thickBot="1" x14ac:dyDescent="0.3">
      <c r="A73" s="100"/>
      <c r="B73" s="70"/>
      <c r="C73" s="93"/>
      <c r="D73" s="70"/>
      <c r="E73" s="93"/>
      <c r="F73" s="70"/>
    </row>
    <row r="74" spans="1:6" ht="15.75" thickBot="1" x14ac:dyDescent="0.3">
      <c r="A74" s="78" t="s">
        <v>69</v>
      </c>
      <c r="B74" s="79"/>
      <c r="C74" s="95">
        <v>2000</v>
      </c>
      <c r="D74" s="82">
        <v>2000</v>
      </c>
      <c r="E74" s="95">
        <v>2000</v>
      </c>
      <c r="F74" s="76">
        <v>0</v>
      </c>
    </row>
    <row r="75" spans="1:6" ht="15.75" thickBot="1" x14ac:dyDescent="0.3">
      <c r="A75" s="83" t="s">
        <v>70</v>
      </c>
      <c r="B75" s="84"/>
      <c r="C75" s="80">
        <v>5500</v>
      </c>
      <c r="D75" s="81">
        <v>10000</v>
      </c>
      <c r="E75" s="134">
        <v>10000</v>
      </c>
      <c r="F75" s="81">
        <v>4500</v>
      </c>
    </row>
    <row r="76" spans="1:6" ht="15.75" thickBot="1" x14ac:dyDescent="0.3">
      <c r="A76" s="83" t="s">
        <v>71</v>
      </c>
      <c r="B76" s="84"/>
      <c r="C76" s="80">
        <v>1500</v>
      </c>
      <c r="D76" s="85">
        <v>0</v>
      </c>
      <c r="E76" s="136">
        <v>0</v>
      </c>
      <c r="F76" s="81">
        <v>-1500</v>
      </c>
    </row>
    <row r="77" spans="1:6" ht="15.75" thickBot="1" x14ac:dyDescent="0.3">
      <c r="A77" s="83" t="s">
        <v>72</v>
      </c>
      <c r="B77" s="84"/>
      <c r="C77" s="80">
        <v>1800</v>
      </c>
      <c r="D77" s="81">
        <v>2550</v>
      </c>
      <c r="E77" s="134">
        <v>2550</v>
      </c>
      <c r="F77" s="85">
        <v>750</v>
      </c>
    </row>
    <row r="78" spans="1:6" ht="15.75" thickBot="1" x14ac:dyDescent="0.3">
      <c r="A78" s="83" t="s">
        <v>73</v>
      </c>
      <c r="B78" s="84"/>
      <c r="C78" s="80">
        <v>3200</v>
      </c>
      <c r="D78" s="81">
        <v>3200</v>
      </c>
      <c r="E78" s="80">
        <v>3200</v>
      </c>
      <c r="F78" s="85">
        <v>0</v>
      </c>
    </row>
    <row r="79" spans="1:6" ht="15.75" thickBot="1" x14ac:dyDescent="0.3">
      <c r="A79" s="83" t="s">
        <v>74</v>
      </c>
      <c r="B79" s="84"/>
      <c r="C79" s="80">
        <v>1600</v>
      </c>
      <c r="D79" s="81">
        <v>1600</v>
      </c>
      <c r="E79" s="80">
        <v>1600</v>
      </c>
      <c r="F79" s="85">
        <v>0</v>
      </c>
    </row>
    <row r="80" spans="1:6" ht="15.75" thickBot="1" x14ac:dyDescent="0.3">
      <c r="A80" s="83" t="s">
        <v>75</v>
      </c>
      <c r="B80" s="84"/>
      <c r="C80" s="80">
        <v>1500</v>
      </c>
      <c r="D80" s="81">
        <v>1500</v>
      </c>
      <c r="E80" s="80">
        <v>1500</v>
      </c>
      <c r="F80" s="85">
        <v>0</v>
      </c>
    </row>
    <row r="81" spans="1:6" ht="15.75" thickBot="1" x14ac:dyDescent="0.3">
      <c r="A81" s="83" t="s">
        <v>76</v>
      </c>
      <c r="B81" s="84"/>
      <c r="C81" s="80">
        <v>4000</v>
      </c>
      <c r="D81" s="81">
        <v>3000</v>
      </c>
      <c r="E81" s="134">
        <v>3000</v>
      </c>
      <c r="F81" s="81">
        <v>-1000</v>
      </c>
    </row>
    <row r="82" spans="1:6" ht="15.75" thickBot="1" x14ac:dyDescent="0.3">
      <c r="A82" s="100" t="s">
        <v>77</v>
      </c>
      <c r="B82" s="102"/>
      <c r="C82" s="103">
        <v>5000</v>
      </c>
      <c r="D82" s="104">
        <v>3350</v>
      </c>
      <c r="E82" s="137">
        <v>3350</v>
      </c>
      <c r="F82" s="104">
        <v>-1650</v>
      </c>
    </row>
    <row r="83" spans="1:6" ht="16.5" thickTop="1" thickBot="1" x14ac:dyDescent="0.3">
      <c r="A83" s="107" t="s">
        <v>78</v>
      </c>
      <c r="B83" s="108"/>
      <c r="C83" s="109">
        <v>26100</v>
      </c>
      <c r="D83" s="110">
        <v>27200</v>
      </c>
      <c r="E83" s="109">
        <v>27200</v>
      </c>
      <c r="F83" s="110">
        <v>1100</v>
      </c>
    </row>
    <row r="84" spans="1:6" ht="15.75" thickBot="1" x14ac:dyDescent="0.3">
      <c r="A84" s="100"/>
      <c r="B84" s="70"/>
      <c r="C84" s="93"/>
      <c r="D84" s="70"/>
      <c r="E84" s="93"/>
      <c r="F84" s="70"/>
    </row>
    <row r="85" spans="1:6" ht="15.75" thickBot="1" x14ac:dyDescent="0.3">
      <c r="A85" s="78" t="s">
        <v>79</v>
      </c>
      <c r="B85" s="79"/>
      <c r="C85" s="95">
        <v>2700</v>
      </c>
      <c r="D85" s="82">
        <v>3000</v>
      </c>
      <c r="E85" s="135">
        <v>3000</v>
      </c>
      <c r="F85" s="76">
        <v>300</v>
      </c>
    </row>
    <row r="86" spans="1:6" ht="15.75" thickBot="1" x14ac:dyDescent="0.3">
      <c r="A86" s="83" t="s">
        <v>80</v>
      </c>
      <c r="B86" s="84"/>
      <c r="C86" s="80">
        <v>3000</v>
      </c>
      <c r="D86" s="81">
        <v>3200</v>
      </c>
      <c r="E86" s="134">
        <v>3200</v>
      </c>
      <c r="F86" s="85">
        <v>200</v>
      </c>
    </row>
    <row r="87" spans="1:6" ht="15.75" thickBot="1" x14ac:dyDescent="0.3">
      <c r="A87" s="96" t="s">
        <v>81</v>
      </c>
      <c r="B87" s="97"/>
      <c r="C87" s="116">
        <v>3600</v>
      </c>
      <c r="D87" s="115">
        <v>4000</v>
      </c>
      <c r="E87" s="139">
        <v>4000</v>
      </c>
      <c r="F87" s="99">
        <v>400</v>
      </c>
    </row>
    <row r="88" spans="1:6" ht="16.5" thickTop="1" thickBot="1" x14ac:dyDescent="0.3">
      <c r="A88" s="118" t="s">
        <v>82</v>
      </c>
      <c r="B88" s="70"/>
      <c r="C88" s="119">
        <v>9300</v>
      </c>
      <c r="D88" s="120">
        <v>10200</v>
      </c>
      <c r="E88" s="119">
        <v>10200</v>
      </c>
      <c r="F88" s="121">
        <v>900</v>
      </c>
    </row>
    <row r="89" spans="1:6" ht="15.75" thickBot="1" x14ac:dyDescent="0.3">
      <c r="A89" s="100"/>
      <c r="B89" s="70"/>
      <c r="C89" s="93"/>
      <c r="D89" s="70"/>
      <c r="E89" s="93"/>
      <c r="F89" s="70"/>
    </row>
    <row r="90" spans="1:6" ht="15.75" thickBot="1" x14ac:dyDescent="0.3">
      <c r="A90" s="122" t="s">
        <v>83</v>
      </c>
      <c r="B90" s="123"/>
      <c r="C90" s="124">
        <v>2910</v>
      </c>
      <c r="D90" s="125">
        <v>2910</v>
      </c>
      <c r="E90" s="124">
        <v>2910</v>
      </c>
      <c r="F90" s="126">
        <v>0</v>
      </c>
    </row>
    <row r="91" spans="1:6" ht="16.5" thickTop="1" thickBot="1" x14ac:dyDescent="0.3">
      <c r="A91" s="117" t="s">
        <v>84</v>
      </c>
      <c r="B91" s="84"/>
      <c r="C91" s="80">
        <v>2910</v>
      </c>
      <c r="D91" s="81">
        <v>2910</v>
      </c>
      <c r="E91" s="80">
        <v>2910</v>
      </c>
      <c r="F91" s="85">
        <v>0</v>
      </c>
    </row>
    <row r="92" spans="1:6" ht="15.75" thickBot="1" x14ac:dyDescent="0.3">
      <c r="A92" s="127"/>
      <c r="B92" s="70"/>
      <c r="C92" s="93"/>
      <c r="D92" s="70"/>
      <c r="E92" s="93"/>
      <c r="F92" s="70"/>
    </row>
    <row r="93" spans="1:6" ht="15.75" thickBot="1" x14ac:dyDescent="0.3">
      <c r="A93" s="78" t="s">
        <v>85</v>
      </c>
      <c r="B93" s="79"/>
      <c r="C93" s="95">
        <v>3500</v>
      </c>
      <c r="D93" s="82">
        <v>3500</v>
      </c>
      <c r="E93" s="95">
        <v>3500</v>
      </c>
      <c r="F93" s="76">
        <v>0</v>
      </c>
    </row>
    <row r="94" spans="1:6" ht="15.75" thickBot="1" x14ac:dyDescent="0.3">
      <c r="A94" s="128" t="s">
        <v>86</v>
      </c>
      <c r="B94" s="84"/>
      <c r="C94" s="80">
        <v>1000</v>
      </c>
      <c r="D94" s="81">
        <v>1500</v>
      </c>
      <c r="E94" s="134">
        <v>1500</v>
      </c>
      <c r="F94" s="85">
        <v>500</v>
      </c>
    </row>
    <row r="95" spans="1:6" ht="15.75" thickBot="1" x14ac:dyDescent="0.3">
      <c r="A95" s="83" t="s">
        <v>87</v>
      </c>
      <c r="B95" s="84"/>
      <c r="C95" s="80">
        <v>2400</v>
      </c>
      <c r="D95" s="81">
        <v>1500</v>
      </c>
      <c r="E95" s="134">
        <v>1500</v>
      </c>
      <c r="F95" s="85">
        <v>-900</v>
      </c>
    </row>
    <row r="96" spans="1:6" ht="15.75" thickBot="1" x14ac:dyDescent="0.3">
      <c r="A96" s="83" t="s">
        <v>88</v>
      </c>
      <c r="B96" s="84"/>
      <c r="C96" s="87">
        <v>500</v>
      </c>
      <c r="D96" s="85">
        <v>500</v>
      </c>
      <c r="E96" s="87">
        <v>500</v>
      </c>
      <c r="F96" s="85">
        <v>0</v>
      </c>
    </row>
    <row r="97" spans="1:6" ht="15.75" thickBot="1" x14ac:dyDescent="0.3">
      <c r="A97" s="83" t="s">
        <v>89</v>
      </c>
      <c r="B97" s="84"/>
      <c r="C97" s="87">
        <v>200</v>
      </c>
      <c r="D97" s="85">
        <v>300</v>
      </c>
      <c r="E97" s="136">
        <v>300</v>
      </c>
      <c r="F97" s="85">
        <v>100</v>
      </c>
    </row>
    <row r="98" spans="1:6" ht="15.75" thickBot="1" x14ac:dyDescent="0.3">
      <c r="A98" s="96" t="s">
        <v>90</v>
      </c>
      <c r="B98" s="97"/>
      <c r="C98" s="116">
        <v>28000</v>
      </c>
      <c r="D98" s="115">
        <v>28000</v>
      </c>
      <c r="E98" s="116">
        <v>28000</v>
      </c>
      <c r="F98" s="99">
        <v>0</v>
      </c>
    </row>
    <row r="99" spans="1:6" ht="16.5" thickTop="1" thickBot="1" x14ac:dyDescent="0.3">
      <c r="A99" s="117" t="s">
        <v>91</v>
      </c>
      <c r="B99" s="84"/>
      <c r="C99" s="80">
        <v>35600</v>
      </c>
      <c r="D99" s="81">
        <v>35300</v>
      </c>
      <c r="E99" s="80">
        <v>35300</v>
      </c>
      <c r="F99" s="85">
        <v>-300</v>
      </c>
    </row>
    <row r="100" spans="1:6" ht="15.75" thickBot="1" x14ac:dyDescent="0.3">
      <c r="A100" s="100"/>
      <c r="B100" s="70"/>
      <c r="C100" s="93"/>
      <c r="D100" s="70"/>
      <c r="E100" s="93"/>
      <c r="F100" s="70"/>
    </row>
    <row r="101" spans="1:6" ht="15.75" thickBot="1" x14ac:dyDescent="0.3">
      <c r="A101" s="78" t="s">
        <v>92</v>
      </c>
      <c r="B101" s="79"/>
      <c r="C101" s="95">
        <v>77930</v>
      </c>
      <c r="D101" s="95">
        <v>16140</v>
      </c>
      <c r="E101" s="135">
        <v>16140</v>
      </c>
      <c r="F101" s="82">
        <v>-61790</v>
      </c>
    </row>
    <row r="102" spans="1:6" ht="15.75" thickBot="1" x14ac:dyDescent="0.3">
      <c r="A102" s="111" t="s">
        <v>93</v>
      </c>
      <c r="B102" s="84"/>
      <c r="C102" s="86"/>
      <c r="D102" s="84"/>
      <c r="E102" s="86"/>
      <c r="F102" s="84"/>
    </row>
    <row r="103" spans="1:6" ht="15.75" thickBot="1" x14ac:dyDescent="0.3">
      <c r="A103" s="83" t="s">
        <v>94</v>
      </c>
      <c r="B103" s="84"/>
      <c r="C103" s="86"/>
      <c r="D103" s="84"/>
      <c r="E103" s="86"/>
      <c r="F103" s="84"/>
    </row>
    <row r="104" spans="1:6" ht="15.75" thickBot="1" x14ac:dyDescent="0.3">
      <c r="A104" s="113" t="s">
        <v>93</v>
      </c>
      <c r="B104" s="97"/>
      <c r="C104" s="116">
        <v>12610</v>
      </c>
      <c r="D104" s="116">
        <v>90000</v>
      </c>
      <c r="E104" s="139">
        <v>90000</v>
      </c>
      <c r="F104" s="115">
        <v>77390</v>
      </c>
    </row>
    <row r="105" spans="1:6" ht="16.5" thickTop="1" thickBot="1" x14ac:dyDescent="0.3">
      <c r="A105" s="129" t="s">
        <v>93</v>
      </c>
      <c r="B105" s="97"/>
      <c r="C105" s="116">
        <v>90540</v>
      </c>
      <c r="D105" s="115">
        <v>106140</v>
      </c>
      <c r="E105" s="116">
        <v>106140</v>
      </c>
      <c r="F105" s="115">
        <v>15600</v>
      </c>
    </row>
    <row r="106" spans="1:6" ht="16.5" thickTop="1" thickBot="1" x14ac:dyDescent="0.3">
      <c r="A106" s="89" t="s">
        <v>95</v>
      </c>
      <c r="B106" s="90"/>
      <c r="C106" s="91">
        <v>504340</v>
      </c>
      <c r="D106" s="92">
        <v>502310</v>
      </c>
      <c r="E106" s="91">
        <v>502310</v>
      </c>
      <c r="F106" s="91">
        <v>-2030</v>
      </c>
    </row>
    <row r="107" spans="1:6" ht="16.5" thickTop="1" thickBot="1" x14ac:dyDescent="0.3">
      <c r="A107" s="70"/>
      <c r="B107" s="70"/>
      <c r="C107" s="70"/>
      <c r="D107" s="70"/>
      <c r="E107" s="70"/>
      <c r="F107" s="70"/>
    </row>
    <row r="108" spans="1:6" ht="15.75" thickBot="1" x14ac:dyDescent="0.3">
      <c r="A108" s="130" t="s">
        <v>96</v>
      </c>
      <c r="B108" s="79"/>
      <c r="C108" s="79"/>
      <c r="D108" s="79"/>
      <c r="E108" s="79"/>
      <c r="F108" s="79"/>
    </row>
    <row r="109" spans="1:6" ht="15.75" thickBot="1" x14ac:dyDescent="0.3">
      <c r="A109" s="83"/>
      <c r="B109" s="84"/>
      <c r="C109" s="84"/>
      <c r="D109" s="84"/>
      <c r="E109" s="84"/>
      <c r="F109" s="84"/>
    </row>
    <row r="110" spans="1:6" ht="15.75" thickBot="1" x14ac:dyDescent="0.3">
      <c r="A110" s="131" t="s">
        <v>97</v>
      </c>
      <c r="B110" s="84"/>
      <c r="C110" s="84"/>
      <c r="D110" s="84"/>
      <c r="E110" s="84"/>
      <c r="F110" s="84"/>
    </row>
    <row r="111" spans="1:6" ht="15.75" thickBot="1" x14ac:dyDescent="0.3">
      <c r="A111" s="83" t="s">
        <v>98</v>
      </c>
      <c r="B111" s="84"/>
      <c r="C111" s="84"/>
      <c r="D111" s="132">
        <v>1300000</v>
      </c>
      <c r="E111" s="138">
        <v>1300000</v>
      </c>
      <c r="F111" s="132">
        <v>1300000</v>
      </c>
    </row>
    <row r="112" spans="1:6" ht="15.75" thickBot="1" x14ac:dyDescent="0.3">
      <c r="A112" s="83"/>
      <c r="B112" s="84"/>
      <c r="C112" s="84"/>
      <c r="D112" s="84"/>
      <c r="E112" s="84"/>
      <c r="F112" s="84"/>
    </row>
    <row r="113" spans="1:6" ht="15.75" thickBot="1" x14ac:dyDescent="0.3">
      <c r="A113" s="131" t="s">
        <v>99</v>
      </c>
      <c r="B113" s="84"/>
      <c r="C113" s="84"/>
      <c r="D113" s="132">
        <v>1300000</v>
      </c>
      <c r="E113" s="138">
        <v>1300000</v>
      </c>
      <c r="F113" s="132">
        <v>1300000</v>
      </c>
    </row>
    <row r="114" spans="1:6" ht="15.75" thickBot="1" x14ac:dyDescent="0.3">
      <c r="A114" s="83" t="s">
        <v>100</v>
      </c>
      <c r="B114" s="84"/>
      <c r="C114" s="84"/>
      <c r="D114" s="84"/>
      <c r="E114" s="84"/>
      <c r="F114" s="84"/>
    </row>
    <row r="115" spans="1:6" ht="15.75" thickBot="1" x14ac:dyDescent="0.3">
      <c r="A115" s="83" t="s">
        <v>52</v>
      </c>
      <c r="B115" s="84"/>
      <c r="C115" s="84"/>
      <c r="D115" s="84"/>
      <c r="E115" s="84"/>
      <c r="F115" s="84"/>
    </row>
    <row r="116" spans="1:6" ht="15.75" thickBot="1" x14ac:dyDescent="0.3">
      <c r="A116" s="83" t="s">
        <v>93</v>
      </c>
      <c r="B116" s="84"/>
      <c r="C116" s="84"/>
      <c r="D116" s="84"/>
      <c r="E116" s="84"/>
      <c r="F116" s="84"/>
    </row>
    <row r="117" spans="1:6" ht="15.75" thickBot="1" x14ac:dyDescent="0.3">
      <c r="A117" s="83"/>
      <c r="B117" s="84"/>
      <c r="C117" s="84"/>
      <c r="D117" s="84"/>
      <c r="E117" s="84"/>
      <c r="F117" s="8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3"/>
  <sheetViews>
    <sheetView topLeftCell="A7" zoomScale="73" zoomScaleNormal="73" zoomScalePageLayoutView="73" workbookViewId="0">
      <selection activeCell="H110" sqref="H110"/>
    </sheetView>
  </sheetViews>
  <sheetFormatPr defaultColWidth="8.85546875" defaultRowHeight="15" x14ac:dyDescent="0.25"/>
  <cols>
    <col min="1" max="1" width="26.42578125" customWidth="1"/>
    <col min="3" max="3" width="10.42578125" style="9" customWidth="1"/>
    <col min="4" max="4" width="10.42578125" customWidth="1"/>
    <col min="5" max="5" width="11.42578125" customWidth="1"/>
    <col min="6" max="6" width="12.42578125" customWidth="1"/>
    <col min="7" max="7" width="3.42578125" customWidth="1"/>
    <col min="9" max="9" width="1.42578125" customWidth="1"/>
    <col min="10" max="10" width="33.140625" customWidth="1"/>
    <col min="11" max="11" width="2.42578125" customWidth="1"/>
    <col min="12" max="12" width="26" customWidth="1"/>
  </cols>
  <sheetData>
    <row r="1" spans="1:12" ht="30" customHeight="1" x14ac:dyDescent="0.25">
      <c r="E1" s="58" t="s">
        <v>0</v>
      </c>
    </row>
    <row r="2" spans="1:12" ht="15" customHeight="1" x14ac:dyDescent="0.25">
      <c r="C2" s="57" t="s">
        <v>0</v>
      </c>
      <c r="D2" s="59" t="s">
        <v>0</v>
      </c>
      <c r="E2" s="58" t="s">
        <v>101</v>
      </c>
      <c r="F2" s="59" t="s">
        <v>0</v>
      </c>
    </row>
    <row r="3" spans="1:12" ht="15.75" thickBot="1" x14ac:dyDescent="0.3">
      <c r="C3" s="57" t="s">
        <v>3</v>
      </c>
      <c r="D3" s="59" t="s">
        <v>4</v>
      </c>
      <c r="E3" s="58" t="s">
        <v>3</v>
      </c>
      <c r="F3" s="57" t="s">
        <v>5</v>
      </c>
      <c r="H3" s="9">
        <f>SUM(H5:H25)</f>
        <v>33720</v>
      </c>
    </row>
    <row r="4" spans="1:12" ht="15.75" thickBot="1" x14ac:dyDescent="0.3">
      <c r="A4" t="s">
        <v>6</v>
      </c>
      <c r="C4" s="52">
        <v>18930</v>
      </c>
      <c r="D4" s="52">
        <v>18930</v>
      </c>
      <c r="E4" s="52">
        <v>18930</v>
      </c>
      <c r="F4" s="57"/>
    </row>
    <row r="5" spans="1:12" ht="15.75" thickBot="1" x14ac:dyDescent="0.3">
      <c r="A5" s="54" t="s">
        <v>7</v>
      </c>
      <c r="B5" s="54"/>
      <c r="C5" s="52">
        <v>220840</v>
      </c>
      <c r="D5" s="52">
        <v>240000</v>
      </c>
      <c r="E5" s="56">
        <v>240000</v>
      </c>
      <c r="F5" s="52">
        <v>19160</v>
      </c>
      <c r="H5" s="27">
        <f t="shared" ref="H5:H25" si="0">E5-C5</f>
        <v>19160</v>
      </c>
      <c r="J5" s="27" t="s">
        <v>7</v>
      </c>
    </row>
    <row r="6" spans="1:12" ht="15.75" thickBot="1" x14ac:dyDescent="0.3">
      <c r="A6" s="54" t="s">
        <v>8</v>
      </c>
      <c r="B6" s="54"/>
      <c r="C6" s="52">
        <v>40000</v>
      </c>
      <c r="D6" s="52">
        <v>40000</v>
      </c>
      <c r="E6" s="53">
        <v>40000</v>
      </c>
      <c r="F6" s="52">
        <v>0</v>
      </c>
      <c r="H6" s="9">
        <f t="shared" si="0"/>
        <v>0</v>
      </c>
      <c r="J6" s="9" t="s">
        <v>8</v>
      </c>
    </row>
    <row r="7" spans="1:12" ht="15.75" thickBot="1" x14ac:dyDescent="0.3">
      <c r="A7" s="54" t="s">
        <v>9</v>
      </c>
      <c r="B7" s="54"/>
      <c r="C7" s="52">
        <v>1500</v>
      </c>
      <c r="D7" s="52">
        <v>1500</v>
      </c>
      <c r="E7" s="53">
        <v>1500</v>
      </c>
      <c r="F7" s="52">
        <v>0</v>
      </c>
      <c r="H7" s="9">
        <f t="shared" si="0"/>
        <v>0</v>
      </c>
      <c r="J7" s="9" t="s">
        <v>9</v>
      </c>
    </row>
    <row r="8" spans="1:12" ht="15.75" thickBot="1" x14ac:dyDescent="0.3">
      <c r="A8" s="54" t="s">
        <v>10</v>
      </c>
      <c r="B8" s="54"/>
      <c r="C8" s="52">
        <v>30000</v>
      </c>
      <c r="D8" s="52">
        <v>34000</v>
      </c>
      <c r="E8" s="56">
        <v>34000</v>
      </c>
      <c r="F8" s="52">
        <v>4000</v>
      </c>
      <c r="H8" s="27">
        <f t="shared" si="0"/>
        <v>4000</v>
      </c>
      <c r="J8" s="27" t="s">
        <v>10</v>
      </c>
    </row>
    <row r="9" spans="1:12" ht="15.75" thickBot="1" x14ac:dyDescent="0.3">
      <c r="A9" s="54" t="s">
        <v>11</v>
      </c>
      <c r="B9" s="54"/>
      <c r="C9" s="52">
        <v>30400</v>
      </c>
      <c r="D9" s="52">
        <v>35000</v>
      </c>
      <c r="E9" s="68">
        <v>35000</v>
      </c>
      <c r="F9" s="52">
        <v>4600</v>
      </c>
      <c r="H9" s="66">
        <f t="shared" si="0"/>
        <v>4600</v>
      </c>
      <c r="J9" s="66" t="s">
        <v>11</v>
      </c>
      <c r="L9" s="62" t="s">
        <v>102</v>
      </c>
    </row>
    <row r="10" spans="1:12" ht="15.75" thickBot="1" x14ac:dyDescent="0.3">
      <c r="A10" s="54" t="s">
        <v>12</v>
      </c>
      <c r="B10" s="54"/>
      <c r="C10" s="52"/>
      <c r="D10" s="52"/>
      <c r="E10" s="53"/>
      <c r="F10" s="52"/>
      <c r="H10" s="9">
        <f t="shared" si="0"/>
        <v>0</v>
      </c>
      <c r="J10" s="9" t="s">
        <v>12</v>
      </c>
    </row>
    <row r="11" spans="1:12" ht="15.75" thickBot="1" x14ac:dyDescent="0.3">
      <c r="A11" s="54" t="s">
        <v>13</v>
      </c>
      <c r="B11" s="54"/>
      <c r="C11" s="52">
        <v>87700</v>
      </c>
      <c r="D11" s="52">
        <v>91200</v>
      </c>
      <c r="E11" s="56">
        <v>91200</v>
      </c>
      <c r="F11" s="52">
        <v>3500</v>
      </c>
      <c r="H11" s="27">
        <f t="shared" si="0"/>
        <v>3500</v>
      </c>
      <c r="J11" s="27" t="s">
        <v>13</v>
      </c>
    </row>
    <row r="12" spans="1:12" ht="15.75" thickBot="1" x14ac:dyDescent="0.3">
      <c r="A12" s="54" t="s">
        <v>14</v>
      </c>
      <c r="B12" s="54"/>
      <c r="C12" s="52">
        <v>14000</v>
      </c>
      <c r="D12" s="52">
        <v>14000</v>
      </c>
      <c r="E12" s="53">
        <v>14000</v>
      </c>
      <c r="F12" s="52">
        <v>0</v>
      </c>
      <c r="H12" s="9">
        <f t="shared" si="0"/>
        <v>0</v>
      </c>
      <c r="J12" s="9" t="s">
        <v>14</v>
      </c>
    </row>
    <row r="13" spans="1:12" ht="15.75" thickBot="1" x14ac:dyDescent="0.3">
      <c r="A13" s="54" t="s">
        <v>15</v>
      </c>
      <c r="B13" s="54"/>
      <c r="C13" s="52">
        <v>1500</v>
      </c>
      <c r="D13" s="52">
        <v>1500</v>
      </c>
      <c r="E13" s="53">
        <v>1500</v>
      </c>
      <c r="F13" s="52">
        <v>0</v>
      </c>
      <c r="H13" s="9">
        <f t="shared" si="0"/>
        <v>0</v>
      </c>
      <c r="J13" s="9" t="s">
        <v>15</v>
      </c>
    </row>
    <row r="14" spans="1:12" ht="15.75" thickBot="1" x14ac:dyDescent="0.3">
      <c r="A14" s="54" t="s">
        <v>16</v>
      </c>
      <c r="B14" s="54"/>
      <c r="C14" s="52">
        <v>500</v>
      </c>
      <c r="D14" s="52">
        <v>500</v>
      </c>
      <c r="E14" s="53">
        <v>500</v>
      </c>
      <c r="F14" s="52">
        <v>0</v>
      </c>
      <c r="H14" s="9">
        <f t="shared" si="0"/>
        <v>0</v>
      </c>
      <c r="J14" s="9" t="s">
        <v>16</v>
      </c>
    </row>
    <row r="15" spans="1:12" ht="15.75" thickBot="1" x14ac:dyDescent="0.3">
      <c r="A15" s="54" t="s">
        <v>17</v>
      </c>
      <c r="B15" s="54"/>
      <c r="C15" s="52">
        <v>100</v>
      </c>
      <c r="D15" s="52">
        <v>400</v>
      </c>
      <c r="E15" s="56">
        <v>400</v>
      </c>
      <c r="F15" s="52">
        <v>300</v>
      </c>
      <c r="H15" s="27">
        <f t="shared" si="0"/>
        <v>300</v>
      </c>
      <c r="J15" s="27" t="s">
        <v>17</v>
      </c>
    </row>
    <row r="16" spans="1:12" ht="15.75" thickBot="1" x14ac:dyDescent="0.3">
      <c r="A16" s="54" t="s">
        <v>18</v>
      </c>
      <c r="B16" s="54"/>
      <c r="C16" s="52"/>
      <c r="D16" s="52"/>
      <c r="E16" s="53"/>
      <c r="F16" s="52"/>
      <c r="H16" s="9">
        <f t="shared" si="0"/>
        <v>0</v>
      </c>
      <c r="J16" s="9" t="s">
        <v>18</v>
      </c>
    </row>
    <row r="17" spans="1:12" ht="15.75" thickBot="1" x14ac:dyDescent="0.3">
      <c r="A17" s="54" t="s">
        <v>19</v>
      </c>
      <c r="B17" s="54"/>
      <c r="C17" s="52"/>
      <c r="D17" s="52"/>
      <c r="E17" s="53"/>
      <c r="F17" s="52"/>
      <c r="H17" s="9">
        <f t="shared" si="0"/>
        <v>0</v>
      </c>
      <c r="J17" s="9" t="s">
        <v>19</v>
      </c>
    </row>
    <row r="18" spans="1:12" ht="15.75" thickBot="1" x14ac:dyDescent="0.3">
      <c r="A18" s="54" t="s">
        <v>20</v>
      </c>
      <c r="B18" s="54"/>
      <c r="C18" s="52"/>
      <c r="D18" s="52"/>
      <c r="E18" s="53"/>
      <c r="F18" s="52"/>
      <c r="H18" s="9">
        <f t="shared" si="0"/>
        <v>0</v>
      </c>
      <c r="J18" s="9" t="s">
        <v>20</v>
      </c>
    </row>
    <row r="19" spans="1:12" ht="15.75" thickBot="1" x14ac:dyDescent="0.3">
      <c r="A19" s="54" t="s">
        <v>21</v>
      </c>
      <c r="B19" s="54"/>
      <c r="C19" s="52">
        <v>15000</v>
      </c>
      <c r="D19" s="52">
        <v>14000</v>
      </c>
      <c r="E19" s="68">
        <v>14000</v>
      </c>
      <c r="F19" s="52">
        <v>-1000</v>
      </c>
      <c r="H19" s="66">
        <f t="shared" si="0"/>
        <v>-1000</v>
      </c>
      <c r="J19" s="66" t="s">
        <v>21</v>
      </c>
      <c r="L19" s="62" t="s">
        <v>103</v>
      </c>
    </row>
    <row r="20" spans="1:12" ht="15.75" thickBot="1" x14ac:dyDescent="0.3">
      <c r="A20" s="55" t="s">
        <v>22</v>
      </c>
      <c r="B20" s="54"/>
      <c r="C20" s="52">
        <v>100</v>
      </c>
      <c r="D20" s="52">
        <v>300</v>
      </c>
      <c r="E20" s="56">
        <v>300</v>
      </c>
      <c r="F20" s="52">
        <v>200</v>
      </c>
      <c r="H20" s="27">
        <f t="shared" si="0"/>
        <v>200</v>
      </c>
      <c r="J20" s="27" t="s">
        <v>22</v>
      </c>
    </row>
    <row r="21" spans="1:12" ht="15.75" thickBot="1" x14ac:dyDescent="0.3">
      <c r="A21" s="54" t="s">
        <v>23</v>
      </c>
      <c r="B21" s="54"/>
      <c r="C21" s="52">
        <v>4000</v>
      </c>
      <c r="D21" s="52">
        <v>4000</v>
      </c>
      <c r="E21" s="53">
        <v>4000</v>
      </c>
      <c r="F21" s="52">
        <v>0</v>
      </c>
      <c r="H21" s="9">
        <f t="shared" si="0"/>
        <v>0</v>
      </c>
      <c r="J21" s="9" t="s">
        <v>23</v>
      </c>
    </row>
    <row r="22" spans="1:12" ht="15.75" thickBot="1" x14ac:dyDescent="0.3">
      <c r="A22" s="54" t="s">
        <v>24</v>
      </c>
      <c r="B22" s="54"/>
      <c r="C22" s="52">
        <v>50</v>
      </c>
      <c r="D22" s="52">
        <v>3010</v>
      </c>
      <c r="E22" s="56">
        <v>3010</v>
      </c>
      <c r="F22" s="52">
        <v>2960</v>
      </c>
      <c r="H22" s="27">
        <f t="shared" si="0"/>
        <v>2960</v>
      </c>
      <c r="J22" s="27" t="s">
        <v>24</v>
      </c>
    </row>
    <row r="23" spans="1:12" ht="15.75" thickBot="1" x14ac:dyDescent="0.3">
      <c r="A23" s="54" t="s">
        <v>25</v>
      </c>
      <c r="B23" s="54"/>
      <c r="C23" s="52"/>
      <c r="D23" s="52"/>
      <c r="E23" s="53"/>
      <c r="F23" s="52"/>
      <c r="H23" s="9">
        <f t="shared" si="0"/>
        <v>0</v>
      </c>
      <c r="J23" s="9" t="s">
        <v>25</v>
      </c>
    </row>
    <row r="24" spans="1:12" ht="15.75" thickBot="1" x14ac:dyDescent="0.3">
      <c r="A24" s="54" t="s">
        <v>26</v>
      </c>
      <c r="B24" s="54"/>
      <c r="C24" s="52">
        <v>1000</v>
      </c>
      <c r="D24" s="52">
        <v>1000</v>
      </c>
      <c r="E24" s="53">
        <v>1000</v>
      </c>
      <c r="F24" s="52">
        <v>0</v>
      </c>
      <c r="H24" s="9">
        <f t="shared" si="0"/>
        <v>0</v>
      </c>
      <c r="J24" s="9" t="s">
        <v>26</v>
      </c>
    </row>
    <row r="25" spans="1:12" ht="15.75" thickBot="1" x14ac:dyDescent="0.3">
      <c r="A25" s="55" t="s">
        <v>27</v>
      </c>
      <c r="B25" s="54"/>
      <c r="C25" s="52">
        <v>5000</v>
      </c>
      <c r="D25" s="52">
        <v>5000</v>
      </c>
      <c r="E25" s="53">
        <v>5000</v>
      </c>
      <c r="F25" s="52">
        <v>0</v>
      </c>
      <c r="H25" s="9">
        <f t="shared" si="0"/>
        <v>0</v>
      </c>
      <c r="J25" s="9" t="s">
        <v>27</v>
      </c>
    </row>
    <row r="26" spans="1:12" ht="15.75" thickBot="1" x14ac:dyDescent="0.3">
      <c r="A26" s="51" t="s">
        <v>28</v>
      </c>
      <c r="B26" s="50"/>
      <c r="C26" s="48">
        <f>SUM(C4:C25)</f>
        <v>470620</v>
      </c>
      <c r="D26" s="48">
        <f>SUM(D4:D25)</f>
        <v>504340</v>
      </c>
      <c r="E26" s="49">
        <f>SUM(E4:E25)</f>
        <v>504340</v>
      </c>
      <c r="F26" s="48">
        <f>SUM(F5:F25)</f>
        <v>33720</v>
      </c>
      <c r="H26" s="44"/>
      <c r="J26" s="44" t="s">
        <v>28</v>
      </c>
    </row>
    <row r="27" spans="1:12" ht="15.75" thickTop="1" x14ac:dyDescent="0.25">
      <c r="E27" s="40"/>
      <c r="F27" s="9"/>
      <c r="H27" s="9">
        <f t="shared" ref="H27:H45" si="1">E27-C27</f>
        <v>0</v>
      </c>
      <c r="J27" s="9"/>
    </row>
    <row r="28" spans="1:12" x14ac:dyDescent="0.25">
      <c r="A28" s="47" t="s">
        <v>29</v>
      </c>
      <c r="E28" s="40"/>
      <c r="F28" s="9"/>
      <c r="H28" s="9">
        <f t="shared" si="1"/>
        <v>0</v>
      </c>
      <c r="J28" s="9" t="s">
        <v>29</v>
      </c>
    </row>
    <row r="29" spans="1:12" x14ac:dyDescent="0.25">
      <c r="A29" s="25" t="s">
        <v>30</v>
      </c>
      <c r="B29" s="25"/>
      <c r="C29" s="23">
        <v>135065</v>
      </c>
      <c r="D29" s="23">
        <v>135065</v>
      </c>
      <c r="E29" s="24">
        <v>135065</v>
      </c>
      <c r="F29" s="23">
        <v>0</v>
      </c>
      <c r="H29" s="9">
        <f t="shared" si="1"/>
        <v>0</v>
      </c>
      <c r="J29" s="9" t="s">
        <v>30</v>
      </c>
    </row>
    <row r="30" spans="1:12" x14ac:dyDescent="0.25">
      <c r="A30" s="46" t="s">
        <v>31</v>
      </c>
      <c r="B30" s="25"/>
      <c r="C30" s="23">
        <v>8350</v>
      </c>
      <c r="D30" s="23">
        <v>8350</v>
      </c>
      <c r="E30" s="24">
        <v>8350</v>
      </c>
      <c r="F30" s="23">
        <v>0</v>
      </c>
      <c r="H30" s="9">
        <f t="shared" si="1"/>
        <v>0</v>
      </c>
      <c r="J30" s="9" t="s">
        <v>31</v>
      </c>
    </row>
    <row r="31" spans="1:12" x14ac:dyDescent="0.25">
      <c r="A31" s="46" t="s">
        <v>32</v>
      </c>
      <c r="B31" s="25"/>
      <c r="C31" s="23">
        <v>1200</v>
      </c>
      <c r="D31" s="23">
        <v>1200</v>
      </c>
      <c r="E31" s="24">
        <v>1200</v>
      </c>
      <c r="F31" s="23">
        <v>0</v>
      </c>
      <c r="H31" s="9">
        <f t="shared" si="1"/>
        <v>0</v>
      </c>
      <c r="J31" s="9" t="s">
        <v>32</v>
      </c>
    </row>
    <row r="32" spans="1:12" x14ac:dyDescent="0.25">
      <c r="A32" s="25" t="s">
        <v>33</v>
      </c>
      <c r="B32" s="25"/>
      <c r="C32" s="23">
        <v>840</v>
      </c>
      <c r="D32" s="23">
        <v>840</v>
      </c>
      <c r="E32" s="24">
        <v>840</v>
      </c>
      <c r="F32" s="23">
        <v>0</v>
      </c>
      <c r="H32" s="9">
        <f t="shared" si="1"/>
        <v>0</v>
      </c>
      <c r="J32" s="9" t="s">
        <v>33</v>
      </c>
    </row>
    <row r="33" spans="1:10" x14ac:dyDescent="0.25">
      <c r="A33" s="25" t="s">
        <v>34</v>
      </c>
      <c r="B33" s="25"/>
      <c r="C33" s="23">
        <v>11585</v>
      </c>
      <c r="D33" s="23">
        <v>11585</v>
      </c>
      <c r="E33" s="24">
        <v>11585</v>
      </c>
      <c r="F33" s="23">
        <v>0</v>
      </c>
      <c r="H33" s="9">
        <f t="shared" si="1"/>
        <v>0</v>
      </c>
      <c r="J33" s="9" t="s">
        <v>34</v>
      </c>
    </row>
    <row r="34" spans="1:10" x14ac:dyDescent="0.25">
      <c r="A34" s="25" t="s">
        <v>35</v>
      </c>
      <c r="B34" s="25"/>
      <c r="C34" s="23">
        <v>5100</v>
      </c>
      <c r="D34" s="23">
        <v>5100</v>
      </c>
      <c r="E34" s="24">
        <v>5100</v>
      </c>
      <c r="F34" s="23">
        <v>0</v>
      </c>
      <c r="H34" s="9">
        <f t="shared" si="1"/>
        <v>0</v>
      </c>
      <c r="J34" s="9" t="s">
        <v>35</v>
      </c>
    </row>
    <row r="35" spans="1:10" ht="15.75" thickBot="1" x14ac:dyDescent="0.3">
      <c r="A35" s="21" t="s">
        <v>36</v>
      </c>
      <c r="B35" s="21"/>
      <c r="C35" s="19">
        <v>130</v>
      </c>
      <c r="D35" s="19">
        <v>130</v>
      </c>
      <c r="E35" s="20">
        <v>130</v>
      </c>
      <c r="F35" s="19">
        <v>0</v>
      </c>
      <c r="H35" s="9">
        <f t="shared" si="1"/>
        <v>0</v>
      </c>
      <c r="J35" s="9" t="s">
        <v>36</v>
      </c>
    </row>
    <row r="36" spans="1:10" ht="16.5" thickTop="1" thickBot="1" x14ac:dyDescent="0.3">
      <c r="A36" s="14" t="s">
        <v>37</v>
      </c>
      <c r="B36" s="13"/>
      <c r="C36" s="12">
        <f>SUM(C29:C35)</f>
        <v>162270</v>
      </c>
      <c r="D36" s="12">
        <f>SUM(D29:D35)</f>
        <v>162270</v>
      </c>
      <c r="E36" s="11">
        <f>SUM(E29:E35)</f>
        <v>162270</v>
      </c>
      <c r="F36" s="12">
        <f>SUM(F29:F35)</f>
        <v>0</v>
      </c>
      <c r="H36" s="9">
        <f t="shared" si="1"/>
        <v>0</v>
      </c>
      <c r="J36" s="9" t="s">
        <v>37</v>
      </c>
    </row>
    <row r="37" spans="1:10" ht="15.75" thickTop="1" x14ac:dyDescent="0.25">
      <c r="A37" s="30"/>
      <c r="E37" s="40"/>
      <c r="F37" s="9"/>
      <c r="H37" s="9">
        <f t="shared" si="1"/>
        <v>0</v>
      </c>
      <c r="J37" s="9"/>
    </row>
    <row r="38" spans="1:10" x14ac:dyDescent="0.25">
      <c r="A38" s="25" t="s">
        <v>38</v>
      </c>
      <c r="B38" s="25"/>
      <c r="C38" s="23"/>
      <c r="D38" s="23"/>
      <c r="E38" s="24"/>
      <c r="F38" s="23"/>
      <c r="H38" s="9">
        <f t="shared" si="1"/>
        <v>0</v>
      </c>
      <c r="J38" s="9" t="s">
        <v>38</v>
      </c>
    </row>
    <row r="39" spans="1:10" x14ac:dyDescent="0.25">
      <c r="A39" s="25" t="s">
        <v>39</v>
      </c>
      <c r="B39" s="25"/>
      <c r="C39" s="23">
        <v>2500</v>
      </c>
      <c r="D39" s="23">
        <v>2500</v>
      </c>
      <c r="E39" s="24">
        <v>2500</v>
      </c>
      <c r="F39" s="23">
        <v>0</v>
      </c>
      <c r="H39" s="9">
        <f t="shared" si="1"/>
        <v>0</v>
      </c>
      <c r="J39" s="9" t="s">
        <v>39</v>
      </c>
    </row>
    <row r="40" spans="1:10" x14ac:dyDescent="0.25">
      <c r="A40" s="25" t="s">
        <v>41</v>
      </c>
      <c r="B40" s="25"/>
      <c r="C40" s="23">
        <v>5500</v>
      </c>
      <c r="D40" s="23">
        <v>7500</v>
      </c>
      <c r="E40" s="28">
        <v>7500</v>
      </c>
      <c r="F40" s="23">
        <v>2000</v>
      </c>
      <c r="H40" s="27">
        <f t="shared" si="1"/>
        <v>2000</v>
      </c>
      <c r="J40" s="27" t="s">
        <v>41</v>
      </c>
    </row>
    <row r="41" spans="1:10" x14ac:dyDescent="0.25">
      <c r="A41" s="25" t="s">
        <v>42</v>
      </c>
      <c r="B41" s="25"/>
      <c r="C41" s="23">
        <v>580</v>
      </c>
      <c r="D41" s="23">
        <v>0</v>
      </c>
      <c r="E41" s="28">
        <v>0</v>
      </c>
      <c r="F41" s="23">
        <v>-580</v>
      </c>
      <c r="H41" s="27">
        <f t="shared" si="1"/>
        <v>-580</v>
      </c>
      <c r="J41" s="27" t="s">
        <v>42</v>
      </c>
    </row>
    <row r="42" spans="1:10" x14ac:dyDescent="0.25">
      <c r="A42" s="25" t="s">
        <v>43</v>
      </c>
      <c r="B42" s="25"/>
      <c r="C42" s="23">
        <v>3500</v>
      </c>
      <c r="D42" s="23">
        <v>3500</v>
      </c>
      <c r="E42" s="24">
        <v>3500</v>
      </c>
      <c r="F42" s="23">
        <v>0</v>
      </c>
      <c r="H42" s="9">
        <f t="shared" si="1"/>
        <v>0</v>
      </c>
      <c r="J42" s="9" t="s">
        <v>43</v>
      </c>
    </row>
    <row r="43" spans="1:10" x14ac:dyDescent="0.25">
      <c r="A43" s="25" t="s">
        <v>44</v>
      </c>
      <c r="B43" s="25"/>
      <c r="C43" s="23">
        <v>1620</v>
      </c>
      <c r="D43" s="23">
        <v>1620</v>
      </c>
      <c r="E43" s="24">
        <v>1620</v>
      </c>
      <c r="F43" s="23">
        <v>0</v>
      </c>
      <c r="H43" s="9">
        <f t="shared" si="1"/>
        <v>0</v>
      </c>
      <c r="J43" s="9" t="s">
        <v>44</v>
      </c>
    </row>
    <row r="44" spans="1:10" x14ac:dyDescent="0.25">
      <c r="A44" s="25" t="s">
        <v>45</v>
      </c>
      <c r="B44" s="25"/>
      <c r="C44" s="23">
        <v>2000</v>
      </c>
      <c r="D44" s="23">
        <v>4000</v>
      </c>
      <c r="E44" s="28">
        <v>4000</v>
      </c>
      <c r="F44" s="23">
        <v>2000</v>
      </c>
      <c r="H44" s="27">
        <f t="shared" si="1"/>
        <v>2000</v>
      </c>
      <c r="J44" s="27" t="s">
        <v>45</v>
      </c>
    </row>
    <row r="45" spans="1:10" ht="15.75" thickBot="1" x14ac:dyDescent="0.3">
      <c r="A45" s="43" t="s">
        <v>46</v>
      </c>
      <c r="B45" s="43"/>
      <c r="C45" s="41">
        <v>1200</v>
      </c>
      <c r="D45" s="41">
        <v>1250</v>
      </c>
      <c r="E45" s="65">
        <v>1250</v>
      </c>
      <c r="F45" s="41">
        <v>50</v>
      </c>
      <c r="H45" s="27">
        <f t="shared" si="1"/>
        <v>50</v>
      </c>
      <c r="J45" s="27" t="s">
        <v>46</v>
      </c>
    </row>
    <row r="46" spans="1:10" ht="15.75" thickTop="1" x14ac:dyDescent="0.25">
      <c r="A46" s="34" t="s">
        <v>48</v>
      </c>
      <c r="B46" s="33"/>
      <c r="C46" s="31">
        <f>SUM(C38:C45)</f>
        <v>16900</v>
      </c>
      <c r="D46" s="31">
        <f>SUM(D38:D45)</f>
        <v>20370</v>
      </c>
      <c r="E46" s="32">
        <f>SUM(E38:E45)</f>
        <v>20370</v>
      </c>
      <c r="F46" s="31">
        <f>SUM(F39:F45)</f>
        <v>3470</v>
      </c>
      <c r="H46" s="9"/>
      <c r="J46" s="9" t="s">
        <v>48</v>
      </c>
    </row>
    <row r="47" spans="1:10" x14ac:dyDescent="0.25">
      <c r="A47" s="30"/>
      <c r="E47" s="40"/>
      <c r="F47" s="9"/>
      <c r="H47" s="9">
        <f t="shared" ref="H47:H55" si="2">E47-C47</f>
        <v>0</v>
      </c>
      <c r="J47" s="9"/>
    </row>
    <row r="48" spans="1:10" x14ac:dyDescent="0.25">
      <c r="A48" s="25" t="s">
        <v>49</v>
      </c>
      <c r="B48" s="25"/>
      <c r="C48" s="23">
        <v>9000</v>
      </c>
      <c r="D48" s="23">
        <v>9000</v>
      </c>
      <c r="E48" s="24">
        <v>9000</v>
      </c>
      <c r="F48" s="23">
        <v>0</v>
      </c>
      <c r="H48" s="9">
        <f t="shared" si="2"/>
        <v>0</v>
      </c>
      <c r="J48" s="9" t="s">
        <v>49</v>
      </c>
    </row>
    <row r="49" spans="1:12" x14ac:dyDescent="0.25">
      <c r="A49" s="25" t="s">
        <v>50</v>
      </c>
      <c r="B49" s="25"/>
      <c r="C49" s="23">
        <v>1500</v>
      </c>
      <c r="D49" s="23">
        <v>1000</v>
      </c>
      <c r="E49" s="28">
        <v>1000</v>
      </c>
      <c r="F49" s="23">
        <v>-500</v>
      </c>
      <c r="H49" s="27">
        <f t="shared" si="2"/>
        <v>-500</v>
      </c>
      <c r="J49" s="27" t="s">
        <v>50</v>
      </c>
    </row>
    <row r="50" spans="1:12" x14ac:dyDescent="0.25">
      <c r="A50" s="25" t="s">
        <v>51</v>
      </c>
      <c r="B50" s="25"/>
      <c r="C50" s="23">
        <v>6750</v>
      </c>
      <c r="D50" s="23">
        <v>6750</v>
      </c>
      <c r="E50" s="24">
        <v>6750</v>
      </c>
      <c r="F50" s="23">
        <v>0</v>
      </c>
      <c r="H50" s="9">
        <f t="shared" si="2"/>
        <v>0</v>
      </c>
      <c r="J50" s="9" t="s">
        <v>51</v>
      </c>
    </row>
    <row r="51" spans="1:12" x14ac:dyDescent="0.25">
      <c r="A51" s="25" t="s">
        <v>52</v>
      </c>
      <c r="B51" s="25"/>
      <c r="C51" s="23">
        <v>1500</v>
      </c>
      <c r="D51" s="23">
        <v>10000</v>
      </c>
      <c r="E51" s="67">
        <v>10000</v>
      </c>
      <c r="F51" s="23">
        <v>8500</v>
      </c>
      <c r="H51" s="66">
        <f t="shared" si="2"/>
        <v>8500</v>
      </c>
      <c r="J51" s="66" t="s">
        <v>52</v>
      </c>
      <c r="L51" s="62" t="s">
        <v>104</v>
      </c>
    </row>
    <row r="52" spans="1:12" x14ac:dyDescent="0.25">
      <c r="A52" s="25" t="s">
        <v>53</v>
      </c>
      <c r="B52" s="25"/>
      <c r="C52" s="23">
        <v>25000</v>
      </c>
      <c r="D52" s="23">
        <v>25000</v>
      </c>
      <c r="E52" s="24">
        <v>25000</v>
      </c>
      <c r="F52" s="23">
        <v>0</v>
      </c>
      <c r="H52" s="9">
        <f t="shared" si="2"/>
        <v>0</v>
      </c>
      <c r="J52" s="9" t="s">
        <v>53</v>
      </c>
    </row>
    <row r="53" spans="1:12" x14ac:dyDescent="0.25">
      <c r="A53" s="26" t="s">
        <v>54</v>
      </c>
      <c r="B53" s="25"/>
      <c r="C53" s="23"/>
      <c r="D53" s="23"/>
      <c r="E53" s="24"/>
      <c r="F53" s="23"/>
      <c r="H53" s="9">
        <f t="shared" si="2"/>
        <v>0</v>
      </c>
      <c r="J53" s="9" t="s">
        <v>54</v>
      </c>
    </row>
    <row r="54" spans="1:12" x14ac:dyDescent="0.25">
      <c r="A54" s="26" t="s">
        <v>55</v>
      </c>
      <c r="B54" s="25"/>
      <c r="C54" s="23"/>
      <c r="D54" s="23"/>
      <c r="E54" s="24"/>
      <c r="F54" s="23"/>
      <c r="H54" s="9">
        <f t="shared" si="2"/>
        <v>0</v>
      </c>
      <c r="J54" s="9" t="s">
        <v>55</v>
      </c>
    </row>
    <row r="55" spans="1:12" ht="15.75" thickBot="1" x14ac:dyDescent="0.3">
      <c r="A55" s="45" t="s">
        <v>56</v>
      </c>
      <c r="B55" s="43"/>
      <c r="C55" s="41"/>
      <c r="D55" s="41"/>
      <c r="E55" s="42"/>
      <c r="F55" s="41"/>
      <c r="H55" s="9">
        <f t="shared" si="2"/>
        <v>0</v>
      </c>
      <c r="J55" s="9" t="s">
        <v>56</v>
      </c>
    </row>
    <row r="56" spans="1:12" ht="15.75" thickTop="1" x14ac:dyDescent="0.25">
      <c r="A56" s="34" t="s">
        <v>59</v>
      </c>
      <c r="B56" s="33"/>
      <c r="C56" s="31">
        <f>SUM(C48:C55)</f>
        <v>43750</v>
      </c>
      <c r="D56" s="31">
        <f>SUM(D48:D55)</f>
        <v>51750</v>
      </c>
      <c r="E56" s="32">
        <f>SUM(E48:E55)</f>
        <v>51750</v>
      </c>
      <c r="F56" s="31">
        <f>SUM(F48:F55)</f>
        <v>8000</v>
      </c>
      <c r="H56" s="9"/>
      <c r="J56" s="9" t="s">
        <v>59</v>
      </c>
    </row>
    <row r="57" spans="1:12" x14ac:dyDescent="0.25">
      <c r="A57" s="30"/>
      <c r="E57" s="40"/>
      <c r="F57" s="9"/>
      <c r="H57" s="9">
        <f t="shared" ref="H57:H66" si="3">E57-C57</f>
        <v>0</v>
      </c>
      <c r="J57" s="9"/>
    </row>
    <row r="58" spans="1:12" x14ac:dyDescent="0.25">
      <c r="A58" s="25" t="s">
        <v>60</v>
      </c>
      <c r="B58" s="25"/>
      <c r="C58" s="23">
        <v>2500</v>
      </c>
      <c r="D58" s="23">
        <v>2500</v>
      </c>
      <c r="E58" s="24">
        <v>2500</v>
      </c>
      <c r="F58" s="23">
        <v>0</v>
      </c>
      <c r="H58" s="9">
        <f t="shared" si="3"/>
        <v>0</v>
      </c>
      <c r="J58" s="9" t="s">
        <v>60</v>
      </c>
    </row>
    <row r="59" spans="1:12" x14ac:dyDescent="0.25">
      <c r="A59" s="25" t="s">
        <v>61</v>
      </c>
      <c r="B59" s="25"/>
      <c r="C59" s="23">
        <v>5500</v>
      </c>
      <c r="D59" s="23">
        <v>5500</v>
      </c>
      <c r="E59" s="24">
        <v>5500</v>
      </c>
      <c r="F59" s="23">
        <v>0</v>
      </c>
      <c r="H59" s="9">
        <f t="shared" si="3"/>
        <v>0</v>
      </c>
      <c r="J59" s="9" t="s">
        <v>61</v>
      </c>
    </row>
    <row r="60" spans="1:12" x14ac:dyDescent="0.25">
      <c r="A60" s="25" t="s">
        <v>25</v>
      </c>
      <c r="B60" s="25"/>
      <c r="C60" s="23">
        <v>1000</v>
      </c>
      <c r="D60" s="23">
        <v>1000</v>
      </c>
      <c r="E60" s="24">
        <v>1000</v>
      </c>
      <c r="F60" s="23">
        <v>0</v>
      </c>
      <c r="H60" s="9">
        <f t="shared" si="3"/>
        <v>0</v>
      </c>
      <c r="J60" s="9" t="s">
        <v>25</v>
      </c>
    </row>
    <row r="61" spans="1:12" x14ac:dyDescent="0.25">
      <c r="A61" s="25" t="s">
        <v>62</v>
      </c>
      <c r="B61" s="25"/>
      <c r="C61" s="23">
        <v>30000</v>
      </c>
      <c r="D61" s="23">
        <v>30000</v>
      </c>
      <c r="E61" s="24">
        <v>30000</v>
      </c>
      <c r="F61" s="23">
        <v>0</v>
      </c>
      <c r="H61" s="9">
        <f t="shared" si="3"/>
        <v>0</v>
      </c>
      <c r="J61" s="9" t="s">
        <v>62</v>
      </c>
    </row>
    <row r="62" spans="1:12" x14ac:dyDescent="0.25">
      <c r="A62" s="25" t="s">
        <v>63</v>
      </c>
      <c r="B62" s="25"/>
      <c r="C62" s="23">
        <v>10000</v>
      </c>
      <c r="D62" s="23">
        <v>10000</v>
      </c>
      <c r="E62" s="24">
        <v>10000</v>
      </c>
      <c r="F62" s="23">
        <v>0</v>
      </c>
      <c r="H62" s="9">
        <f t="shared" si="3"/>
        <v>0</v>
      </c>
      <c r="J62" s="9" t="s">
        <v>63</v>
      </c>
    </row>
    <row r="63" spans="1:12" x14ac:dyDescent="0.25">
      <c r="A63" s="25" t="s">
        <v>64</v>
      </c>
      <c r="B63" s="25"/>
      <c r="C63" s="23">
        <v>25000</v>
      </c>
      <c r="D63" s="23">
        <v>43100</v>
      </c>
      <c r="E63" s="28">
        <v>43100</v>
      </c>
      <c r="F63" s="23">
        <v>18100</v>
      </c>
      <c r="H63" s="27">
        <f t="shared" si="3"/>
        <v>18100</v>
      </c>
      <c r="J63" s="27" t="s">
        <v>64</v>
      </c>
    </row>
    <row r="64" spans="1:12" x14ac:dyDescent="0.25">
      <c r="A64" s="25" t="s">
        <v>65</v>
      </c>
      <c r="B64" s="25"/>
      <c r="C64" s="23">
        <v>1000</v>
      </c>
      <c r="D64" s="23">
        <v>1200</v>
      </c>
      <c r="E64" s="28">
        <v>1200</v>
      </c>
      <c r="F64" s="23">
        <v>200</v>
      </c>
      <c r="H64" s="27">
        <f t="shared" si="3"/>
        <v>200</v>
      </c>
      <c r="J64" s="27" t="s">
        <v>65</v>
      </c>
    </row>
    <row r="65" spans="1:10" x14ac:dyDescent="0.25">
      <c r="A65" s="25" t="s">
        <v>66</v>
      </c>
      <c r="B65" s="25"/>
      <c r="C65" s="23">
        <v>7000</v>
      </c>
      <c r="D65" s="23">
        <v>7000</v>
      </c>
      <c r="E65" s="24">
        <v>7000</v>
      </c>
      <c r="F65" s="23">
        <v>0</v>
      </c>
      <c r="H65" s="9">
        <f t="shared" si="3"/>
        <v>0</v>
      </c>
      <c r="J65" s="9" t="s">
        <v>66</v>
      </c>
    </row>
    <row r="66" spans="1:10" ht="15.75" thickBot="1" x14ac:dyDescent="0.3">
      <c r="A66" s="43" t="s">
        <v>67</v>
      </c>
      <c r="B66" s="43"/>
      <c r="C66" s="41">
        <v>3500</v>
      </c>
      <c r="D66" s="41">
        <v>5200</v>
      </c>
      <c r="E66" s="65">
        <v>5200</v>
      </c>
      <c r="F66" s="41">
        <v>1700</v>
      </c>
      <c r="H66" s="27">
        <f t="shared" si="3"/>
        <v>1700</v>
      </c>
      <c r="J66" s="27" t="s">
        <v>67</v>
      </c>
    </row>
    <row r="67" spans="1:10" ht="15.75" thickTop="1" x14ac:dyDescent="0.25">
      <c r="A67" s="34" t="s">
        <v>68</v>
      </c>
      <c r="B67" s="33"/>
      <c r="C67" s="31">
        <f>SUM(C58:C66)</f>
        <v>85500</v>
      </c>
      <c r="D67" s="31">
        <f>SUM(D58:D66)</f>
        <v>105500</v>
      </c>
      <c r="E67" s="32">
        <f>SUM(E58:E66)</f>
        <v>105500</v>
      </c>
      <c r="F67" s="31">
        <f>SUM(F58:F66)</f>
        <v>20000</v>
      </c>
      <c r="H67" s="44"/>
      <c r="J67" s="44" t="s">
        <v>68</v>
      </c>
    </row>
    <row r="68" spans="1:10" x14ac:dyDescent="0.25">
      <c r="A68" s="30"/>
      <c r="E68" s="40"/>
      <c r="F68" s="9"/>
      <c r="H68" s="9">
        <f t="shared" ref="H68:H77" si="4">E68-C68</f>
        <v>0</v>
      </c>
      <c r="J68" s="9"/>
    </row>
    <row r="69" spans="1:10" x14ac:dyDescent="0.25">
      <c r="A69" s="25" t="s">
        <v>69</v>
      </c>
      <c r="B69" s="25"/>
      <c r="C69" s="23">
        <v>2000</v>
      </c>
      <c r="D69" s="23">
        <v>2000</v>
      </c>
      <c r="E69" s="24">
        <v>2000</v>
      </c>
      <c r="F69" s="23">
        <v>0</v>
      </c>
      <c r="H69" s="9">
        <f t="shared" si="4"/>
        <v>0</v>
      </c>
      <c r="J69" s="9" t="s">
        <v>69</v>
      </c>
    </row>
    <row r="70" spans="1:10" x14ac:dyDescent="0.25">
      <c r="A70" s="25" t="s">
        <v>70</v>
      </c>
      <c r="B70" s="25"/>
      <c r="C70" s="23">
        <v>5500</v>
      </c>
      <c r="D70" s="23">
        <v>5500</v>
      </c>
      <c r="E70" s="24">
        <v>5500</v>
      </c>
      <c r="F70" s="23">
        <v>0</v>
      </c>
      <c r="H70" s="9">
        <f t="shared" si="4"/>
        <v>0</v>
      </c>
      <c r="J70" s="9" t="s">
        <v>70</v>
      </c>
    </row>
    <row r="71" spans="1:10" x14ac:dyDescent="0.25">
      <c r="A71" s="25" t="s">
        <v>71</v>
      </c>
      <c r="B71" s="25"/>
      <c r="C71" s="23">
        <v>1500</v>
      </c>
      <c r="D71" s="23">
        <v>1500</v>
      </c>
      <c r="E71" s="24">
        <v>1500</v>
      </c>
      <c r="F71" s="23">
        <v>0</v>
      </c>
      <c r="H71" s="9">
        <f t="shared" si="4"/>
        <v>0</v>
      </c>
      <c r="J71" s="9" t="s">
        <v>71</v>
      </c>
    </row>
    <row r="72" spans="1:10" x14ac:dyDescent="0.25">
      <c r="A72" s="25" t="s">
        <v>72</v>
      </c>
      <c r="B72" s="25"/>
      <c r="C72" s="23">
        <v>1800</v>
      </c>
      <c r="D72" s="23">
        <v>1800</v>
      </c>
      <c r="E72" s="24">
        <v>1800</v>
      </c>
      <c r="F72" s="23">
        <v>0</v>
      </c>
      <c r="H72" s="9">
        <f t="shared" si="4"/>
        <v>0</v>
      </c>
      <c r="J72" s="9" t="s">
        <v>72</v>
      </c>
    </row>
    <row r="73" spans="1:10" x14ac:dyDescent="0.25">
      <c r="A73" s="25" t="s">
        <v>73</v>
      </c>
      <c r="B73" s="25"/>
      <c r="C73" s="23">
        <v>3000</v>
      </c>
      <c r="D73" s="23">
        <v>3200</v>
      </c>
      <c r="E73" s="28">
        <v>3200</v>
      </c>
      <c r="F73" s="23">
        <v>200</v>
      </c>
      <c r="H73" s="27">
        <f t="shared" si="4"/>
        <v>200</v>
      </c>
      <c r="J73" s="27" t="s">
        <v>73</v>
      </c>
    </row>
    <row r="74" spans="1:10" x14ac:dyDescent="0.25">
      <c r="A74" s="25" t="s">
        <v>74</v>
      </c>
      <c r="B74" s="25"/>
      <c r="C74" s="23">
        <v>1600</v>
      </c>
      <c r="D74" s="23">
        <v>1600</v>
      </c>
      <c r="E74" s="24">
        <v>1600</v>
      </c>
      <c r="F74" s="23">
        <v>0</v>
      </c>
      <c r="H74" s="9">
        <f t="shared" si="4"/>
        <v>0</v>
      </c>
      <c r="J74" s="9" t="s">
        <v>74</v>
      </c>
    </row>
    <row r="75" spans="1:10" x14ac:dyDescent="0.25">
      <c r="A75" s="25" t="s">
        <v>75</v>
      </c>
      <c r="B75" s="25"/>
      <c r="C75" s="23">
        <v>1500</v>
      </c>
      <c r="D75" s="23">
        <v>1500</v>
      </c>
      <c r="E75" s="24">
        <v>1500</v>
      </c>
      <c r="F75" s="23">
        <v>0</v>
      </c>
      <c r="H75" s="9">
        <f t="shared" si="4"/>
        <v>0</v>
      </c>
      <c r="J75" s="9" t="s">
        <v>75</v>
      </c>
    </row>
    <row r="76" spans="1:10" x14ac:dyDescent="0.25">
      <c r="A76" s="25" t="s">
        <v>76</v>
      </c>
      <c r="B76" s="25"/>
      <c r="C76" s="23">
        <v>4000</v>
      </c>
      <c r="D76" s="23">
        <v>4000</v>
      </c>
      <c r="E76" s="24">
        <v>4000</v>
      </c>
      <c r="F76" s="23">
        <v>0</v>
      </c>
      <c r="H76" s="9">
        <f t="shared" si="4"/>
        <v>0</v>
      </c>
      <c r="J76" s="9" t="s">
        <v>76</v>
      </c>
    </row>
    <row r="77" spans="1:10" ht="15.75" thickBot="1" x14ac:dyDescent="0.3">
      <c r="A77" s="43" t="s">
        <v>77</v>
      </c>
      <c r="B77" s="43"/>
      <c r="C77" s="41">
        <v>5000</v>
      </c>
      <c r="D77" s="41">
        <v>5000</v>
      </c>
      <c r="E77" s="42">
        <v>5000</v>
      </c>
      <c r="F77" s="41">
        <v>0</v>
      </c>
      <c r="H77" s="9">
        <f t="shared" si="4"/>
        <v>0</v>
      </c>
      <c r="J77" s="9" t="s">
        <v>77</v>
      </c>
    </row>
    <row r="78" spans="1:10" ht="15.75" thickTop="1" x14ac:dyDescent="0.25">
      <c r="A78" s="34" t="s">
        <v>78</v>
      </c>
      <c r="B78" s="33"/>
      <c r="C78" s="31">
        <f>SUM(C69:C77)</f>
        <v>25900</v>
      </c>
      <c r="D78" s="31">
        <f>SUM(D69:D77)</f>
        <v>26100</v>
      </c>
      <c r="E78" s="32">
        <f>SUM(E69:E77)</f>
        <v>26100</v>
      </c>
      <c r="F78" s="31">
        <f>SUM(F69:F77)</f>
        <v>200</v>
      </c>
      <c r="H78" s="9"/>
      <c r="J78" s="9" t="s">
        <v>78</v>
      </c>
    </row>
    <row r="79" spans="1:10" x14ac:dyDescent="0.25">
      <c r="A79" s="30"/>
      <c r="E79" s="40"/>
      <c r="F79" s="9"/>
      <c r="H79" s="9">
        <f t="shared" ref="H79:H85" si="5">E79-C79</f>
        <v>0</v>
      </c>
      <c r="J79" s="9"/>
    </row>
    <row r="80" spans="1:10" x14ac:dyDescent="0.25">
      <c r="A80" s="25" t="s">
        <v>79</v>
      </c>
      <c r="B80" s="25"/>
      <c r="C80" s="23">
        <v>2700</v>
      </c>
      <c r="D80" s="23">
        <v>2700</v>
      </c>
      <c r="E80" s="24">
        <v>2700</v>
      </c>
      <c r="F80" s="23">
        <v>0</v>
      </c>
      <c r="H80" s="9">
        <f t="shared" si="5"/>
        <v>0</v>
      </c>
      <c r="J80" s="9" t="s">
        <v>79</v>
      </c>
    </row>
    <row r="81" spans="1:12" x14ac:dyDescent="0.25">
      <c r="A81" s="25" t="s">
        <v>80</v>
      </c>
      <c r="B81" s="25"/>
      <c r="C81" s="23">
        <v>3000</v>
      </c>
      <c r="D81" s="23">
        <v>3000</v>
      </c>
      <c r="E81" s="24">
        <v>3000</v>
      </c>
      <c r="F81" s="23">
        <v>0</v>
      </c>
      <c r="H81" s="9">
        <f t="shared" si="5"/>
        <v>0</v>
      </c>
      <c r="J81" s="9" t="s">
        <v>80</v>
      </c>
    </row>
    <row r="82" spans="1:12" ht="15.75" thickBot="1" x14ac:dyDescent="0.3">
      <c r="A82" s="21" t="s">
        <v>81</v>
      </c>
      <c r="B82" s="21"/>
      <c r="C82" s="19">
        <v>3600</v>
      </c>
      <c r="D82" s="19">
        <v>3600</v>
      </c>
      <c r="E82" s="20">
        <v>3600</v>
      </c>
      <c r="F82" s="19">
        <v>0</v>
      </c>
      <c r="H82" s="9">
        <f t="shared" si="5"/>
        <v>0</v>
      </c>
      <c r="J82" s="9" t="s">
        <v>81</v>
      </c>
    </row>
    <row r="83" spans="1:12" ht="15.75" thickTop="1" x14ac:dyDescent="0.25">
      <c r="A83" s="39" t="s">
        <v>82</v>
      </c>
      <c r="C83" s="9">
        <f>SUM(C80:C82)</f>
        <v>9300</v>
      </c>
      <c r="D83" s="9">
        <f>SUM(D80:D82)</f>
        <v>9300</v>
      </c>
      <c r="E83" s="29">
        <f>SUM(E80:E82)</f>
        <v>9300</v>
      </c>
      <c r="F83" s="9">
        <f>SUM(F80:F82)</f>
        <v>0</v>
      </c>
      <c r="H83" s="9">
        <f t="shared" si="5"/>
        <v>0</v>
      </c>
      <c r="J83" s="9" t="s">
        <v>82</v>
      </c>
    </row>
    <row r="84" spans="1:12" x14ac:dyDescent="0.25">
      <c r="A84" s="38"/>
      <c r="E84" s="29"/>
      <c r="F84" s="9"/>
      <c r="H84" s="9">
        <f t="shared" si="5"/>
        <v>0</v>
      </c>
      <c r="J84" s="9"/>
    </row>
    <row r="85" spans="1:12" ht="15.75" thickBot="1" x14ac:dyDescent="0.3">
      <c r="A85" s="21" t="s">
        <v>83</v>
      </c>
      <c r="B85" s="21"/>
      <c r="C85" s="19">
        <v>2900</v>
      </c>
      <c r="D85" s="19">
        <v>2910</v>
      </c>
      <c r="E85" s="37">
        <v>2910</v>
      </c>
      <c r="F85" s="19">
        <v>10</v>
      </c>
      <c r="H85" s="27">
        <f t="shared" si="5"/>
        <v>10</v>
      </c>
      <c r="J85" s="27" t="s">
        <v>83</v>
      </c>
    </row>
    <row r="86" spans="1:12" ht="15.75" thickTop="1" x14ac:dyDescent="0.25">
      <c r="A86" s="34" t="s">
        <v>84</v>
      </c>
      <c r="B86" s="33"/>
      <c r="C86" s="31">
        <f>SUM(C85)</f>
        <v>2900</v>
      </c>
      <c r="D86" s="31">
        <f>SUM(D85)</f>
        <v>2910</v>
      </c>
      <c r="E86" s="32">
        <f>SUM(E85)</f>
        <v>2910</v>
      </c>
      <c r="F86" s="31">
        <f>SUM(F85)</f>
        <v>10</v>
      </c>
      <c r="H86" s="9"/>
      <c r="J86" s="9" t="s">
        <v>84</v>
      </c>
    </row>
    <row r="87" spans="1:12" x14ac:dyDescent="0.25">
      <c r="A87" s="36"/>
      <c r="D87" s="9"/>
      <c r="E87" s="29"/>
      <c r="F87" s="9"/>
      <c r="H87" s="9">
        <f t="shared" ref="H87:H99" si="6">E87-C87</f>
        <v>0</v>
      </c>
      <c r="J87" s="9"/>
    </row>
    <row r="88" spans="1:12" x14ac:dyDescent="0.25">
      <c r="A88" s="25" t="s">
        <v>85</v>
      </c>
      <c r="B88" s="25"/>
      <c r="C88" s="23">
        <v>3500</v>
      </c>
      <c r="D88" s="23">
        <v>3500</v>
      </c>
      <c r="E88" s="24">
        <v>3500</v>
      </c>
      <c r="F88" s="23">
        <v>0</v>
      </c>
      <c r="H88" s="9">
        <f t="shared" si="6"/>
        <v>0</v>
      </c>
      <c r="J88" s="9" t="s">
        <v>85</v>
      </c>
    </row>
    <row r="89" spans="1:12" x14ac:dyDescent="0.25">
      <c r="A89" s="35" t="s">
        <v>86</v>
      </c>
      <c r="B89" s="25"/>
      <c r="C89" s="23">
        <v>1000</v>
      </c>
      <c r="D89" s="23">
        <v>1000</v>
      </c>
      <c r="E89" s="24">
        <v>1000</v>
      </c>
      <c r="F89" s="23">
        <v>0</v>
      </c>
      <c r="H89" s="9">
        <f t="shared" si="6"/>
        <v>0</v>
      </c>
      <c r="J89" s="9" t="s">
        <v>86</v>
      </c>
    </row>
    <row r="90" spans="1:12" x14ac:dyDescent="0.25">
      <c r="A90" s="25" t="s">
        <v>87</v>
      </c>
      <c r="B90" s="25"/>
      <c r="C90" s="23">
        <v>2400</v>
      </c>
      <c r="D90" s="23">
        <v>2400</v>
      </c>
      <c r="E90" s="24">
        <v>2400</v>
      </c>
      <c r="F90" s="23">
        <v>0</v>
      </c>
      <c r="H90" s="9">
        <f t="shared" si="6"/>
        <v>0</v>
      </c>
      <c r="J90" s="9" t="s">
        <v>87</v>
      </c>
    </row>
    <row r="91" spans="1:12" x14ac:dyDescent="0.25">
      <c r="A91" s="25" t="s">
        <v>88</v>
      </c>
      <c r="B91" s="25"/>
      <c r="C91" s="23">
        <v>500</v>
      </c>
      <c r="D91" s="23">
        <v>500</v>
      </c>
      <c r="E91" s="24">
        <v>500</v>
      </c>
      <c r="F91" s="23">
        <v>0</v>
      </c>
      <c r="H91" s="9">
        <f t="shared" si="6"/>
        <v>0</v>
      </c>
      <c r="J91" s="9" t="s">
        <v>88</v>
      </c>
    </row>
    <row r="92" spans="1:12" x14ac:dyDescent="0.25">
      <c r="A92" s="25" t="s">
        <v>89</v>
      </c>
      <c r="B92" s="25"/>
      <c r="C92" s="23">
        <v>200</v>
      </c>
      <c r="D92" s="23">
        <v>200</v>
      </c>
      <c r="E92" s="24">
        <v>200</v>
      </c>
      <c r="F92" s="23">
        <v>0</v>
      </c>
      <c r="H92" s="9">
        <f t="shared" si="6"/>
        <v>0</v>
      </c>
      <c r="J92" s="9" t="s">
        <v>89</v>
      </c>
    </row>
    <row r="93" spans="1:12" ht="15.75" thickBot="1" x14ac:dyDescent="0.3">
      <c r="A93" s="21" t="s">
        <v>90</v>
      </c>
      <c r="B93" s="21"/>
      <c r="C93" s="19">
        <v>28000</v>
      </c>
      <c r="D93" s="19">
        <v>28000</v>
      </c>
      <c r="E93" s="20">
        <v>28000</v>
      </c>
      <c r="F93" s="19">
        <v>0</v>
      </c>
      <c r="H93" s="9">
        <f t="shared" si="6"/>
        <v>0</v>
      </c>
      <c r="J93" s="9" t="s">
        <v>90</v>
      </c>
    </row>
    <row r="94" spans="1:12" ht="15.75" thickTop="1" x14ac:dyDescent="0.25">
      <c r="A94" s="34" t="s">
        <v>91</v>
      </c>
      <c r="B94" s="33"/>
      <c r="C94" s="31">
        <f>SUM(C88:C93)</f>
        <v>35600</v>
      </c>
      <c r="D94" s="31">
        <f>SUM(D88:D93)</f>
        <v>35600</v>
      </c>
      <c r="E94" s="32">
        <f>SUM(E88:E93)</f>
        <v>35600</v>
      </c>
      <c r="F94" s="31">
        <f>SUM(F88:F93)</f>
        <v>0</v>
      </c>
      <c r="H94" s="9">
        <f t="shared" si="6"/>
        <v>0</v>
      </c>
      <c r="J94" s="9" t="s">
        <v>91</v>
      </c>
    </row>
    <row r="95" spans="1:12" x14ac:dyDescent="0.25">
      <c r="A95" s="30"/>
      <c r="E95" s="29"/>
      <c r="F95" s="9"/>
      <c r="H95" s="9">
        <f t="shared" si="6"/>
        <v>0</v>
      </c>
      <c r="J95" s="9"/>
    </row>
    <row r="96" spans="1:12" x14ac:dyDescent="0.25">
      <c r="A96" s="25" t="s">
        <v>92</v>
      </c>
      <c r="B96" s="25"/>
      <c r="C96" s="23">
        <v>75890</v>
      </c>
      <c r="D96" s="24">
        <v>77930</v>
      </c>
      <c r="E96" s="64">
        <v>77930</v>
      </c>
      <c r="F96" s="23">
        <v>2040</v>
      </c>
      <c r="H96" s="63">
        <f t="shared" si="6"/>
        <v>2040</v>
      </c>
      <c r="J96" s="63" t="s">
        <v>92</v>
      </c>
      <c r="L96" s="62" t="s">
        <v>105</v>
      </c>
    </row>
    <row r="97" spans="1:10" x14ac:dyDescent="0.25">
      <c r="A97" s="26" t="s">
        <v>93</v>
      </c>
      <c r="B97" s="25"/>
      <c r="C97" s="23"/>
      <c r="D97" s="25"/>
      <c r="E97" s="24"/>
      <c r="F97" s="23"/>
      <c r="H97" s="9">
        <f t="shared" si="6"/>
        <v>0</v>
      </c>
      <c r="J97" s="9" t="s">
        <v>93</v>
      </c>
    </row>
    <row r="98" spans="1:10" x14ac:dyDescent="0.25">
      <c r="A98" s="25" t="s">
        <v>94</v>
      </c>
      <c r="B98" s="25"/>
      <c r="C98" s="23"/>
      <c r="D98" s="25"/>
      <c r="E98" s="24"/>
      <c r="F98" s="23"/>
      <c r="H98" s="9">
        <f t="shared" si="6"/>
        <v>0</v>
      </c>
      <c r="J98" s="9" t="s">
        <v>94</v>
      </c>
    </row>
    <row r="99" spans="1:10" ht="15.75" thickBot="1" x14ac:dyDescent="0.3">
      <c r="A99" s="22" t="s">
        <v>93</v>
      </c>
      <c r="B99" s="21"/>
      <c r="C99" s="19">
        <v>12610</v>
      </c>
      <c r="D99" s="20">
        <v>12610</v>
      </c>
      <c r="E99" s="20">
        <v>12610</v>
      </c>
      <c r="F99" s="19"/>
      <c r="H99" s="9">
        <f t="shared" si="6"/>
        <v>0</v>
      </c>
      <c r="J99" s="9" t="s">
        <v>93</v>
      </c>
    </row>
    <row r="100" spans="1:10" ht="16.5" thickTop="1" thickBot="1" x14ac:dyDescent="0.3">
      <c r="A100" s="18" t="s">
        <v>93</v>
      </c>
      <c r="B100" s="17"/>
      <c r="C100" s="15">
        <f>SUM(C96:C99)</f>
        <v>88500</v>
      </c>
      <c r="D100" s="15">
        <f>SUM(D96:D99)</f>
        <v>90540</v>
      </c>
      <c r="E100" s="16">
        <f>SUM(E96:E99)</f>
        <v>90540</v>
      </c>
      <c r="F100" s="15">
        <f>SUM(F96:F99)</f>
        <v>2040</v>
      </c>
      <c r="H100" s="9"/>
      <c r="J100" s="9" t="s">
        <v>93</v>
      </c>
    </row>
    <row r="101" spans="1:10" ht="16.5" thickTop="1" thickBot="1" x14ac:dyDescent="0.3">
      <c r="A101" s="14" t="s">
        <v>95</v>
      </c>
      <c r="B101" s="13"/>
      <c r="C101" s="12">
        <f>SUM(C100+C94+C86+C83+C78+C67+C56+C46+C36)</f>
        <v>470620</v>
      </c>
      <c r="D101" s="12">
        <f>SUM(D100+D94+D86+D83+D78+D67+D56+D46+D36)</f>
        <v>504340</v>
      </c>
      <c r="E101" s="11">
        <f>SUM(E36+E46+E56+E67+E78+E83+E86+E94+E100)</f>
        <v>504340</v>
      </c>
      <c r="F101" s="11">
        <f>SUM(F36+F46+F56+F67+F78+F83+F86+F94+F100)</f>
        <v>33720</v>
      </c>
      <c r="H101" s="9"/>
      <c r="J101" s="9" t="s">
        <v>95</v>
      </c>
    </row>
    <row r="102" spans="1:10" ht="15.75" thickTop="1" x14ac:dyDescent="0.25"/>
    <row r="103" spans="1:10" x14ac:dyDescent="0.25">
      <c r="A103" s="10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5"/>
  <sheetViews>
    <sheetView workbookViewId="0">
      <selection activeCell="H110" sqref="H110"/>
    </sheetView>
  </sheetViews>
  <sheetFormatPr defaultColWidth="8.85546875" defaultRowHeight="15" x14ac:dyDescent="0.25"/>
  <cols>
    <col min="1" max="1" width="43" style="2" customWidth="1"/>
    <col min="2" max="4" width="18.85546875" style="2" customWidth="1"/>
    <col min="5" max="5" width="2.42578125" style="2" customWidth="1"/>
    <col min="6" max="6" width="10.140625" style="2" customWidth="1"/>
    <col min="7" max="16384" width="8.85546875" style="2"/>
  </cols>
  <sheetData>
    <row r="1" spans="1:7" ht="18" x14ac:dyDescent="0.25">
      <c r="A1" s="155" t="s">
        <v>106</v>
      </c>
      <c r="B1" s="156"/>
      <c r="C1" s="156"/>
      <c r="D1" s="156"/>
      <c r="E1" s="146"/>
      <c r="F1" s="146" t="s">
        <v>107</v>
      </c>
      <c r="G1" s="146"/>
    </row>
    <row r="2" spans="1:7" ht="18" x14ac:dyDescent="0.25">
      <c r="A2" s="155" t="s">
        <v>108</v>
      </c>
      <c r="B2" s="156"/>
      <c r="C2" s="156"/>
      <c r="D2" s="156"/>
      <c r="E2" s="146"/>
      <c r="F2" s="146"/>
      <c r="G2" s="146"/>
    </row>
    <row r="3" spans="1:7" x14ac:dyDescent="0.25">
      <c r="A3" s="157" t="s">
        <v>109</v>
      </c>
      <c r="B3" s="156"/>
      <c r="C3" s="156"/>
      <c r="D3" s="156"/>
      <c r="E3" s="146"/>
      <c r="F3" s="7">
        <f>D47</f>
        <v>451690</v>
      </c>
      <c r="G3" s="146" t="s">
        <v>110</v>
      </c>
    </row>
    <row r="4" spans="1:7" x14ac:dyDescent="0.25">
      <c r="A4" s="146"/>
      <c r="B4" s="146"/>
      <c r="C4" s="146"/>
      <c r="D4" s="146"/>
      <c r="E4" s="146"/>
      <c r="F4" s="7">
        <v>470620</v>
      </c>
      <c r="G4" s="146" t="s">
        <v>111</v>
      </c>
    </row>
    <row r="5" spans="1:7" ht="15.75" thickBot="1" x14ac:dyDescent="0.3">
      <c r="A5" s="145"/>
      <c r="B5" s="144" t="s">
        <v>112</v>
      </c>
      <c r="C5" s="144" t="s">
        <v>113</v>
      </c>
      <c r="D5" s="144" t="s">
        <v>114</v>
      </c>
      <c r="E5" s="146"/>
      <c r="F5" s="8">
        <f>F3-F4</f>
        <v>-18930</v>
      </c>
      <c r="G5" s="61" t="s">
        <v>115</v>
      </c>
    </row>
    <row r="6" spans="1:7" ht="15.75" thickTop="1" x14ac:dyDescent="0.25">
      <c r="A6" s="3" t="s">
        <v>97</v>
      </c>
      <c r="B6" s="4"/>
      <c r="C6" s="4"/>
      <c r="D6" s="4"/>
      <c r="E6" s="146"/>
      <c r="F6" s="7"/>
      <c r="G6" s="146"/>
    </row>
    <row r="7" spans="1:7" x14ac:dyDescent="0.25">
      <c r="A7" s="3" t="s">
        <v>116</v>
      </c>
      <c r="B7" s="4"/>
      <c r="C7" s="5">
        <f>220840</f>
        <v>220840</v>
      </c>
      <c r="D7" s="5">
        <f t="shared" ref="D7:D47" si="0">(B7)+(C7)</f>
        <v>220840</v>
      </c>
      <c r="E7" s="146"/>
      <c r="F7" s="7" t="e">
        <f>#REF!</f>
        <v>#REF!</v>
      </c>
      <c r="G7" s="146" t="s">
        <v>117</v>
      </c>
    </row>
    <row r="8" spans="1:7" x14ac:dyDescent="0.25">
      <c r="A8" s="3" t="s">
        <v>118</v>
      </c>
      <c r="B8" s="4"/>
      <c r="C8" s="4"/>
      <c r="D8" s="5">
        <f t="shared" si="0"/>
        <v>0</v>
      </c>
      <c r="E8" s="146"/>
      <c r="F8" s="7">
        <v>504340</v>
      </c>
      <c r="G8" s="146" t="s">
        <v>119</v>
      </c>
    </row>
    <row r="9" spans="1:7" ht="15.75" thickBot="1" x14ac:dyDescent="0.3">
      <c r="A9" s="3" t="s">
        <v>120</v>
      </c>
      <c r="B9" s="4"/>
      <c r="C9" s="4"/>
      <c r="D9" s="5">
        <f t="shared" si="0"/>
        <v>0</v>
      </c>
      <c r="E9" s="146"/>
      <c r="F9" s="8" t="e">
        <f>F7-F8</f>
        <v>#REF!</v>
      </c>
      <c r="G9" s="146"/>
    </row>
    <row r="10" spans="1:7" ht="15.75" thickTop="1" x14ac:dyDescent="0.25">
      <c r="A10" s="3" t="s">
        <v>121</v>
      </c>
      <c r="B10" s="6">
        <f>((B7)+(B8))+(B9)</f>
        <v>0</v>
      </c>
      <c r="C10" s="6">
        <f>((C7)+(C8))+(C9)</f>
        <v>220840</v>
      </c>
      <c r="D10" s="6">
        <f t="shared" si="0"/>
        <v>220840</v>
      </c>
      <c r="E10" s="146"/>
      <c r="F10" s="7"/>
      <c r="G10" s="146"/>
    </row>
    <row r="11" spans="1:7" x14ac:dyDescent="0.25">
      <c r="A11" s="3" t="s">
        <v>122</v>
      </c>
      <c r="B11" s="4"/>
      <c r="C11" s="5">
        <f>40000</f>
        <v>40000</v>
      </c>
      <c r="D11" s="5">
        <f t="shared" si="0"/>
        <v>40000</v>
      </c>
      <c r="E11" s="146"/>
      <c r="F11" s="60" t="e">
        <f>F9-F5</f>
        <v>#REF!</v>
      </c>
      <c r="G11" s="146" t="s">
        <v>123</v>
      </c>
    </row>
    <row r="12" spans="1:7" x14ac:dyDescent="0.25">
      <c r="A12" s="3" t="s">
        <v>124</v>
      </c>
      <c r="B12" s="4"/>
      <c r="C12" s="5">
        <f>1500</f>
        <v>1500</v>
      </c>
      <c r="D12" s="5">
        <f t="shared" si="0"/>
        <v>1500</v>
      </c>
      <c r="E12" s="146"/>
      <c r="F12" s="146"/>
      <c r="G12" s="146"/>
    </row>
    <row r="13" spans="1:7" x14ac:dyDescent="0.25">
      <c r="A13" s="3" t="s">
        <v>125</v>
      </c>
      <c r="B13" s="4"/>
      <c r="C13" s="5">
        <f>30000</f>
        <v>30000</v>
      </c>
      <c r="D13" s="5">
        <f t="shared" si="0"/>
        <v>30000</v>
      </c>
      <c r="E13" s="146"/>
      <c r="F13" s="146" t="s">
        <v>126</v>
      </c>
      <c r="G13" s="146"/>
    </row>
    <row r="14" spans="1:7" x14ac:dyDescent="0.25">
      <c r="A14" s="3" t="s">
        <v>127</v>
      </c>
      <c r="B14" s="4"/>
      <c r="C14" s="5">
        <f>27000</f>
        <v>27000</v>
      </c>
      <c r="D14" s="5">
        <f t="shared" si="0"/>
        <v>27000</v>
      </c>
      <c r="E14" s="146"/>
      <c r="F14" s="146"/>
      <c r="G14" s="146"/>
    </row>
    <row r="15" spans="1:7" x14ac:dyDescent="0.25">
      <c r="A15" s="3" t="s">
        <v>128</v>
      </c>
      <c r="B15" s="4"/>
      <c r="C15" s="5">
        <f>3400</f>
        <v>3400</v>
      </c>
      <c r="D15" s="5">
        <f t="shared" si="0"/>
        <v>3400</v>
      </c>
      <c r="E15" s="146"/>
      <c r="F15" s="7">
        <f>D155</f>
        <v>382120</v>
      </c>
      <c r="G15" s="146" t="s">
        <v>110</v>
      </c>
    </row>
    <row r="16" spans="1:7" x14ac:dyDescent="0.25">
      <c r="A16" s="3" t="s">
        <v>129</v>
      </c>
      <c r="B16" s="6">
        <f>(B14)+(B15)</f>
        <v>0</v>
      </c>
      <c r="C16" s="6">
        <f>(C14)+(C15)</f>
        <v>30400</v>
      </c>
      <c r="D16" s="6">
        <f t="shared" si="0"/>
        <v>30400</v>
      </c>
      <c r="E16" s="146"/>
      <c r="F16" s="7">
        <v>470620</v>
      </c>
      <c r="G16" s="146" t="s">
        <v>111</v>
      </c>
    </row>
    <row r="17" spans="1:7" ht="15.75" thickBot="1" x14ac:dyDescent="0.3">
      <c r="A17" s="3" t="s">
        <v>130</v>
      </c>
      <c r="B17" s="4"/>
      <c r="C17" s="5">
        <f>87700</f>
        <v>87700</v>
      </c>
      <c r="D17" s="5">
        <f t="shared" si="0"/>
        <v>87700</v>
      </c>
      <c r="E17" s="146"/>
      <c r="F17" s="8">
        <f>F15-F16</f>
        <v>-88500</v>
      </c>
      <c r="G17" s="61" t="s">
        <v>131</v>
      </c>
    </row>
    <row r="18" spans="1:7" ht="15.75" thickTop="1" x14ac:dyDescent="0.25">
      <c r="A18" s="3" t="s">
        <v>132</v>
      </c>
      <c r="B18" s="4"/>
      <c r="C18" s="5">
        <f>14000</f>
        <v>14000</v>
      </c>
      <c r="D18" s="5">
        <f t="shared" si="0"/>
        <v>14000</v>
      </c>
      <c r="E18" s="146"/>
      <c r="F18" s="7"/>
      <c r="G18" s="146"/>
    </row>
    <row r="19" spans="1:7" x14ac:dyDescent="0.25">
      <c r="A19" s="3" t="s">
        <v>133</v>
      </c>
      <c r="B19" s="4"/>
      <c r="C19" s="5">
        <f>1500</f>
        <v>1500</v>
      </c>
      <c r="D19" s="5">
        <f t="shared" si="0"/>
        <v>1500</v>
      </c>
      <c r="E19" s="146"/>
      <c r="F19" s="7" t="e">
        <f>#REF!</f>
        <v>#REF!</v>
      </c>
      <c r="G19" s="146" t="s">
        <v>117</v>
      </c>
    </row>
    <row r="20" spans="1:7" x14ac:dyDescent="0.25">
      <c r="A20" s="3" t="s">
        <v>134</v>
      </c>
      <c r="B20" s="4"/>
      <c r="C20" s="5">
        <f>500</f>
        <v>500</v>
      </c>
      <c r="D20" s="5">
        <f t="shared" si="0"/>
        <v>500</v>
      </c>
      <c r="E20" s="146"/>
      <c r="F20" s="7">
        <v>504340</v>
      </c>
      <c r="G20" s="146" t="s">
        <v>119</v>
      </c>
    </row>
    <row r="21" spans="1:7" ht="15.75" thickBot="1" x14ac:dyDescent="0.3">
      <c r="A21" s="3" t="s">
        <v>135</v>
      </c>
      <c r="B21" s="4"/>
      <c r="C21" s="5">
        <f>100</f>
        <v>100</v>
      </c>
      <c r="D21" s="5">
        <f t="shared" si="0"/>
        <v>100</v>
      </c>
      <c r="E21" s="146"/>
      <c r="F21" s="8" t="e">
        <f>F19-F20</f>
        <v>#REF!</v>
      </c>
      <c r="G21" s="146"/>
    </row>
    <row r="22" spans="1:7" ht="15.75" thickTop="1" x14ac:dyDescent="0.25">
      <c r="A22" s="3" t="s">
        <v>136</v>
      </c>
      <c r="B22" s="4"/>
      <c r="C22" s="4"/>
      <c r="D22" s="5">
        <f t="shared" si="0"/>
        <v>0</v>
      </c>
      <c r="E22" s="146"/>
      <c r="F22" s="7"/>
      <c r="G22" s="146"/>
    </row>
    <row r="23" spans="1:7" x14ac:dyDescent="0.25">
      <c r="A23" s="3" t="s">
        <v>137</v>
      </c>
      <c r="B23" s="4"/>
      <c r="C23" s="4"/>
      <c r="D23" s="5">
        <f t="shared" si="0"/>
        <v>0</v>
      </c>
      <c r="E23" s="146"/>
      <c r="F23" s="60" t="e">
        <f>F21-F17</f>
        <v>#REF!</v>
      </c>
      <c r="G23" s="146" t="s">
        <v>123</v>
      </c>
    </row>
    <row r="24" spans="1:7" x14ac:dyDescent="0.25">
      <c r="A24" s="3" t="s">
        <v>138</v>
      </c>
      <c r="B24" s="4"/>
      <c r="C24" s="4"/>
      <c r="D24" s="5">
        <f t="shared" si="0"/>
        <v>0</v>
      </c>
      <c r="E24" s="146"/>
      <c r="F24" s="146"/>
      <c r="G24" s="61" t="s">
        <v>139</v>
      </c>
    </row>
    <row r="25" spans="1:7" x14ac:dyDescent="0.25">
      <c r="A25" s="3" t="s">
        <v>140</v>
      </c>
      <c r="B25" s="6">
        <f>(((B21)+(B22))+(B23))+(B24)</f>
        <v>0</v>
      </c>
      <c r="C25" s="6">
        <f>(((C21)+(C22))+(C23))+(C24)</f>
        <v>100</v>
      </c>
      <c r="D25" s="6">
        <f t="shared" si="0"/>
        <v>100</v>
      </c>
      <c r="E25" s="146"/>
      <c r="F25" s="146"/>
      <c r="G25" s="146"/>
    </row>
    <row r="26" spans="1:7" x14ac:dyDescent="0.25">
      <c r="A26" s="3" t="s">
        <v>141</v>
      </c>
      <c r="B26" s="4"/>
      <c r="C26" s="4"/>
      <c r="D26" s="5">
        <f t="shared" si="0"/>
        <v>0</v>
      </c>
      <c r="E26" s="146"/>
      <c r="F26" s="146"/>
      <c r="G26" s="146"/>
    </row>
    <row r="27" spans="1:7" x14ac:dyDescent="0.25">
      <c r="A27" s="3" t="s">
        <v>142</v>
      </c>
      <c r="B27" s="4"/>
      <c r="C27" s="5">
        <f>7800</f>
        <v>7800</v>
      </c>
      <c r="D27" s="5">
        <f t="shared" si="0"/>
        <v>7800</v>
      </c>
      <c r="E27" s="146"/>
      <c r="F27" s="60"/>
      <c r="G27" s="146"/>
    </row>
    <row r="28" spans="1:7" x14ac:dyDescent="0.25">
      <c r="A28" s="3" t="s">
        <v>143</v>
      </c>
      <c r="B28" s="4"/>
      <c r="C28" s="5">
        <f>6150</f>
        <v>6150</v>
      </c>
      <c r="D28" s="5">
        <f t="shared" si="0"/>
        <v>6150</v>
      </c>
      <c r="E28" s="146"/>
      <c r="F28" s="60"/>
      <c r="G28" s="146"/>
    </row>
    <row r="29" spans="1:7" x14ac:dyDescent="0.25">
      <c r="A29" s="3" t="s">
        <v>144</v>
      </c>
      <c r="B29" s="4"/>
      <c r="C29" s="5">
        <f>1050</f>
        <v>1050</v>
      </c>
      <c r="D29" s="5">
        <f t="shared" si="0"/>
        <v>1050</v>
      </c>
      <c r="E29" s="146"/>
      <c r="F29" s="60"/>
      <c r="G29" s="146"/>
    </row>
    <row r="30" spans="1:7" x14ac:dyDescent="0.25">
      <c r="A30" s="3" t="s">
        <v>145</v>
      </c>
      <c r="B30" s="6">
        <f>(((B26)+(B27))+(B28))+(B29)</f>
        <v>0</v>
      </c>
      <c r="C30" s="6">
        <f>(((C26)+(C27))+(C28))+(C29)</f>
        <v>15000</v>
      </c>
      <c r="D30" s="6">
        <f t="shared" si="0"/>
        <v>15000</v>
      </c>
      <c r="E30" s="146"/>
      <c r="F30" s="146"/>
      <c r="G30" s="146"/>
    </row>
    <row r="31" spans="1:7" x14ac:dyDescent="0.25">
      <c r="A31" s="3" t="s">
        <v>146</v>
      </c>
      <c r="B31" s="4"/>
      <c r="C31" s="5">
        <f>100</f>
        <v>100</v>
      </c>
      <c r="D31" s="5">
        <f t="shared" si="0"/>
        <v>100</v>
      </c>
      <c r="E31" s="146"/>
      <c r="F31" s="146"/>
      <c r="G31" s="146"/>
    </row>
    <row r="32" spans="1:7" x14ac:dyDescent="0.25">
      <c r="A32" s="3" t="s">
        <v>147</v>
      </c>
      <c r="B32" s="4"/>
      <c r="C32" s="5">
        <f>4000</f>
        <v>4000</v>
      </c>
      <c r="D32" s="5">
        <f t="shared" si="0"/>
        <v>4000</v>
      </c>
      <c r="E32" s="146"/>
      <c r="F32" s="146"/>
      <c r="G32" s="146"/>
    </row>
    <row r="33" spans="1:4" x14ac:dyDescent="0.25">
      <c r="A33" s="3" t="s">
        <v>148</v>
      </c>
      <c r="B33" s="4"/>
      <c r="C33" s="5">
        <f>50</f>
        <v>50</v>
      </c>
      <c r="D33" s="5">
        <f t="shared" si="0"/>
        <v>50</v>
      </c>
    </row>
    <row r="34" spans="1:4" x14ac:dyDescent="0.25">
      <c r="A34" s="3" t="s">
        <v>149</v>
      </c>
      <c r="B34" s="4"/>
      <c r="C34" s="4"/>
      <c r="D34" s="5">
        <f t="shared" si="0"/>
        <v>0</v>
      </c>
    </row>
    <row r="35" spans="1:4" x14ac:dyDescent="0.25">
      <c r="A35" s="3" t="s">
        <v>150</v>
      </c>
      <c r="B35" s="6">
        <f>(B33)+(B34)</f>
        <v>0</v>
      </c>
      <c r="C35" s="6">
        <f>(C33)+(C34)</f>
        <v>50</v>
      </c>
      <c r="D35" s="6">
        <f t="shared" si="0"/>
        <v>50</v>
      </c>
    </row>
    <row r="36" spans="1:4" x14ac:dyDescent="0.25">
      <c r="A36" s="3" t="s">
        <v>151</v>
      </c>
      <c r="B36" s="4"/>
      <c r="C36" s="4"/>
      <c r="D36" s="5">
        <f t="shared" si="0"/>
        <v>0</v>
      </c>
    </row>
    <row r="37" spans="1:4" x14ac:dyDescent="0.25">
      <c r="A37" s="3" t="s">
        <v>152</v>
      </c>
      <c r="B37" s="5">
        <f>1000</f>
        <v>1000</v>
      </c>
      <c r="C37" s="4"/>
      <c r="D37" s="5">
        <f t="shared" si="0"/>
        <v>1000</v>
      </c>
    </row>
    <row r="38" spans="1:4" x14ac:dyDescent="0.25">
      <c r="A38" s="3" t="s">
        <v>153</v>
      </c>
      <c r="B38" s="4"/>
      <c r="C38" s="4"/>
      <c r="D38" s="5">
        <f t="shared" si="0"/>
        <v>0</v>
      </c>
    </row>
    <row r="39" spans="1:4" x14ac:dyDescent="0.25">
      <c r="A39" s="3" t="s">
        <v>154</v>
      </c>
      <c r="B39" s="4"/>
      <c r="C39" s="4"/>
      <c r="D39" s="5">
        <f t="shared" si="0"/>
        <v>0</v>
      </c>
    </row>
    <row r="40" spans="1:4" x14ac:dyDescent="0.25">
      <c r="A40" s="3" t="s">
        <v>155</v>
      </c>
      <c r="B40" s="4"/>
      <c r="C40" s="5">
        <f>5000</f>
        <v>5000</v>
      </c>
      <c r="D40" s="5">
        <f t="shared" si="0"/>
        <v>5000</v>
      </c>
    </row>
    <row r="41" spans="1:4" x14ac:dyDescent="0.25">
      <c r="A41" s="3" t="s">
        <v>156</v>
      </c>
      <c r="B41" s="4"/>
      <c r="C41" s="4"/>
      <c r="D41" s="5">
        <f t="shared" si="0"/>
        <v>0</v>
      </c>
    </row>
    <row r="42" spans="1:4" x14ac:dyDescent="0.25">
      <c r="A42" s="3" t="s">
        <v>157</v>
      </c>
      <c r="B42" s="4"/>
      <c r="C42" s="4"/>
      <c r="D42" s="5">
        <f t="shared" si="0"/>
        <v>0</v>
      </c>
    </row>
    <row r="43" spans="1:4" x14ac:dyDescent="0.25">
      <c r="A43" s="3" t="s">
        <v>158</v>
      </c>
      <c r="B43" s="4"/>
      <c r="C43" s="4"/>
      <c r="D43" s="5">
        <f t="shared" si="0"/>
        <v>0</v>
      </c>
    </row>
    <row r="44" spans="1:4" x14ac:dyDescent="0.25">
      <c r="A44" s="3" t="s">
        <v>159</v>
      </c>
      <c r="B44" s="4"/>
      <c r="C44" s="4"/>
      <c r="D44" s="5">
        <f t="shared" si="0"/>
        <v>0</v>
      </c>
    </row>
    <row r="45" spans="1:4" x14ac:dyDescent="0.25">
      <c r="A45" s="3" t="s">
        <v>160</v>
      </c>
      <c r="B45" s="4"/>
      <c r="C45" s="4"/>
      <c r="D45" s="5">
        <f t="shared" si="0"/>
        <v>0</v>
      </c>
    </row>
    <row r="46" spans="1:4" x14ac:dyDescent="0.25">
      <c r="A46" s="3" t="s">
        <v>161</v>
      </c>
      <c r="B46" s="4"/>
      <c r="C46" s="4"/>
      <c r="D46" s="5">
        <f t="shared" si="0"/>
        <v>0</v>
      </c>
    </row>
    <row r="47" spans="1:4" x14ac:dyDescent="0.25">
      <c r="A47" s="3" t="s">
        <v>162</v>
      </c>
      <c r="B47" s="6">
        <f>((((((((((((((((((((((((B10)+(B11))+(B12))+(B13))+(B16))+(B17))+(B18))+(B19))+(B20))+(B25))+(B30))+(B31))+(B32))+(B35))+(B36))+(B37))+(B38))+(B39))+(B40))+(B41))+(B42))+(B43))+(B44))+(B45))+(B46)</f>
        <v>1000</v>
      </c>
      <c r="C47" s="6">
        <f>((((((((((((((((((((((((C10)+(C11))+(C12))+(C13))+(C16))+(C17))+(C18))+(C19))+(C20))+(C25))+(C30))+(C31))+(C32))+(C35))+(C36))+(C37))+(C38))+(C39))+(C40))+(C41))+(C42))+(C43))+(C44))+(C45))+(C46)</f>
        <v>450690</v>
      </c>
      <c r="D47" s="6">
        <f t="shared" si="0"/>
        <v>451690</v>
      </c>
    </row>
    <row r="48" spans="1:4" x14ac:dyDescent="0.25">
      <c r="A48" s="3" t="s">
        <v>163</v>
      </c>
      <c r="B48" s="4"/>
      <c r="C48" s="4"/>
      <c r="D48" s="4"/>
    </row>
    <row r="49" spans="1:4" x14ac:dyDescent="0.25">
      <c r="A49" s="3" t="s">
        <v>164</v>
      </c>
      <c r="B49" s="4"/>
      <c r="C49" s="4"/>
      <c r="D49" s="5">
        <f>(B49)+(C49)</f>
        <v>0</v>
      </c>
    </row>
    <row r="50" spans="1:4" x14ac:dyDescent="0.25">
      <c r="A50" s="3" t="s">
        <v>165</v>
      </c>
      <c r="B50" s="6">
        <f>B49</f>
        <v>0</v>
      </c>
      <c r="C50" s="6">
        <f>C49</f>
        <v>0</v>
      </c>
      <c r="D50" s="6">
        <f>(B50)+(C50)</f>
        <v>0</v>
      </c>
    </row>
    <row r="51" spans="1:4" x14ac:dyDescent="0.25">
      <c r="A51" s="3" t="s">
        <v>166</v>
      </c>
      <c r="B51" s="6">
        <f>(B47)-(B50)</f>
        <v>1000</v>
      </c>
      <c r="C51" s="6">
        <f>(C47)-(C50)</f>
        <v>450690</v>
      </c>
      <c r="D51" s="6">
        <f>(B51)+(C51)</f>
        <v>451690</v>
      </c>
    </row>
    <row r="52" spans="1:4" x14ac:dyDescent="0.25">
      <c r="A52" s="3" t="s">
        <v>167</v>
      </c>
      <c r="B52" s="4"/>
      <c r="C52" s="4"/>
      <c r="D52" s="4"/>
    </row>
    <row r="53" spans="1:4" x14ac:dyDescent="0.25">
      <c r="A53" s="3" t="s">
        <v>168</v>
      </c>
      <c r="B53" s="4"/>
      <c r="C53" s="4"/>
      <c r="D53" s="5">
        <f t="shared" ref="D53:D116" si="1">(B53)+(C53)</f>
        <v>0</v>
      </c>
    </row>
    <row r="54" spans="1:4" x14ac:dyDescent="0.25">
      <c r="A54" s="3" t="s">
        <v>169</v>
      </c>
      <c r="B54" s="4"/>
      <c r="C54" s="5">
        <f>135060</f>
        <v>135060</v>
      </c>
      <c r="D54" s="5">
        <f t="shared" si="1"/>
        <v>135060</v>
      </c>
    </row>
    <row r="55" spans="1:4" x14ac:dyDescent="0.25">
      <c r="A55" s="3" t="s">
        <v>170</v>
      </c>
      <c r="B55" s="4"/>
      <c r="C55" s="4"/>
      <c r="D55" s="5">
        <f t="shared" si="1"/>
        <v>0</v>
      </c>
    </row>
    <row r="56" spans="1:4" x14ac:dyDescent="0.25">
      <c r="A56" s="3" t="s">
        <v>171</v>
      </c>
      <c r="B56" s="4"/>
      <c r="C56" s="5">
        <f>8350</f>
        <v>8350</v>
      </c>
      <c r="D56" s="5">
        <f t="shared" si="1"/>
        <v>8350</v>
      </c>
    </row>
    <row r="57" spans="1:4" x14ac:dyDescent="0.25">
      <c r="A57" s="3" t="s">
        <v>172</v>
      </c>
      <c r="B57" s="4"/>
      <c r="C57" s="5">
        <f>840</f>
        <v>840</v>
      </c>
      <c r="D57" s="5">
        <f t="shared" si="1"/>
        <v>840</v>
      </c>
    </row>
    <row r="58" spans="1:4" x14ac:dyDescent="0.25">
      <c r="A58" s="3" t="s">
        <v>173</v>
      </c>
      <c r="B58" s="4"/>
      <c r="C58" s="4"/>
      <c r="D58" s="5">
        <f t="shared" si="1"/>
        <v>0</v>
      </c>
    </row>
    <row r="59" spans="1:4" x14ac:dyDescent="0.25">
      <c r="A59" s="3" t="s">
        <v>174</v>
      </c>
      <c r="B59" s="4"/>
      <c r="C59" s="5">
        <f>11040</f>
        <v>11040</v>
      </c>
      <c r="D59" s="5">
        <f t="shared" si="1"/>
        <v>11040</v>
      </c>
    </row>
    <row r="60" spans="1:4" x14ac:dyDescent="0.25">
      <c r="A60" s="3" t="s">
        <v>175</v>
      </c>
      <c r="B60" s="4"/>
      <c r="C60" s="5">
        <f>550</f>
        <v>550</v>
      </c>
      <c r="D60" s="5">
        <f t="shared" si="1"/>
        <v>550</v>
      </c>
    </row>
    <row r="61" spans="1:4" x14ac:dyDescent="0.25">
      <c r="A61" s="3" t="s">
        <v>176</v>
      </c>
      <c r="B61" s="6">
        <f>((B58)+(B59))+(B60)</f>
        <v>0</v>
      </c>
      <c r="C61" s="6">
        <f>((C58)+(C59))+(C60)</f>
        <v>11590</v>
      </c>
      <c r="D61" s="6">
        <f t="shared" si="1"/>
        <v>11590</v>
      </c>
    </row>
    <row r="62" spans="1:4" x14ac:dyDescent="0.25">
      <c r="A62" s="3" t="s">
        <v>177</v>
      </c>
      <c r="B62" s="4"/>
      <c r="C62" s="5">
        <f>5100</f>
        <v>5100</v>
      </c>
      <c r="D62" s="5">
        <f t="shared" si="1"/>
        <v>5100</v>
      </c>
    </row>
    <row r="63" spans="1:4" x14ac:dyDescent="0.25">
      <c r="A63" s="3" t="s">
        <v>178</v>
      </c>
      <c r="B63" s="4"/>
      <c r="C63" s="5">
        <f>130</f>
        <v>130</v>
      </c>
      <c r="D63" s="5">
        <f t="shared" si="1"/>
        <v>130</v>
      </c>
    </row>
    <row r="64" spans="1:4" x14ac:dyDescent="0.25">
      <c r="A64" s="3" t="s">
        <v>179</v>
      </c>
      <c r="B64" s="4"/>
      <c r="C64" s="5">
        <f>1200</f>
        <v>1200</v>
      </c>
      <c r="D64" s="5">
        <f t="shared" si="1"/>
        <v>1200</v>
      </c>
    </row>
    <row r="65" spans="1:4" x14ac:dyDescent="0.25">
      <c r="A65" s="3" t="s">
        <v>180</v>
      </c>
      <c r="B65" s="6">
        <f>((((((((B53)+(B54))+(B55))+(B56))+(B57))+(B61))+(B62))+(B63))+(B64)</f>
        <v>0</v>
      </c>
      <c r="C65" s="6">
        <f>((((((((C53)+(C54))+(C55))+(C56))+(C57))+(C61))+(C62))+(C63))+(C64)</f>
        <v>162270</v>
      </c>
      <c r="D65" s="6">
        <f t="shared" si="1"/>
        <v>162270</v>
      </c>
    </row>
    <row r="66" spans="1:4" x14ac:dyDescent="0.25">
      <c r="A66" s="3" t="s">
        <v>181</v>
      </c>
      <c r="B66" s="4"/>
      <c r="C66" s="4"/>
      <c r="D66" s="5">
        <f t="shared" si="1"/>
        <v>0</v>
      </c>
    </row>
    <row r="67" spans="1:4" x14ac:dyDescent="0.25">
      <c r="A67" s="3" t="s">
        <v>182</v>
      </c>
      <c r="B67" s="4"/>
      <c r="C67" s="4"/>
      <c r="D67" s="5">
        <f t="shared" si="1"/>
        <v>0</v>
      </c>
    </row>
    <row r="68" spans="1:4" x14ac:dyDescent="0.25">
      <c r="A68" s="3" t="s">
        <v>183</v>
      </c>
      <c r="B68" s="4"/>
      <c r="C68" s="4"/>
      <c r="D68" s="5">
        <f t="shared" si="1"/>
        <v>0</v>
      </c>
    </row>
    <row r="69" spans="1:4" x14ac:dyDescent="0.25">
      <c r="A69" s="3" t="s">
        <v>184</v>
      </c>
      <c r="B69" s="4"/>
      <c r="C69" s="5">
        <f>2500</f>
        <v>2500</v>
      </c>
      <c r="D69" s="5">
        <f t="shared" si="1"/>
        <v>2500</v>
      </c>
    </row>
    <row r="70" spans="1:4" x14ac:dyDescent="0.25">
      <c r="A70" s="3" t="s">
        <v>185</v>
      </c>
      <c r="B70" s="4"/>
      <c r="C70" s="5">
        <f>5500</f>
        <v>5500</v>
      </c>
      <c r="D70" s="5">
        <f t="shared" si="1"/>
        <v>5500</v>
      </c>
    </row>
    <row r="71" spans="1:4" x14ac:dyDescent="0.25">
      <c r="A71" s="3" t="s">
        <v>186</v>
      </c>
      <c r="B71" s="4"/>
      <c r="C71" s="5">
        <f>580</f>
        <v>580</v>
      </c>
      <c r="D71" s="5">
        <f t="shared" si="1"/>
        <v>580</v>
      </c>
    </row>
    <row r="72" spans="1:4" x14ac:dyDescent="0.25">
      <c r="A72" s="3" t="s">
        <v>187</v>
      </c>
      <c r="B72" s="4"/>
      <c r="C72" s="5">
        <f>3500</f>
        <v>3500</v>
      </c>
      <c r="D72" s="5">
        <f t="shared" si="1"/>
        <v>3500</v>
      </c>
    </row>
    <row r="73" spans="1:4" x14ac:dyDescent="0.25">
      <c r="A73" s="3" t="s">
        <v>188</v>
      </c>
      <c r="B73" s="4"/>
      <c r="C73" s="5">
        <f>1620</f>
        <v>1620</v>
      </c>
      <c r="D73" s="5">
        <f t="shared" si="1"/>
        <v>1620</v>
      </c>
    </row>
    <row r="74" spans="1:4" x14ac:dyDescent="0.25">
      <c r="A74" s="3" t="s">
        <v>189</v>
      </c>
      <c r="B74" s="4"/>
      <c r="C74" s="5">
        <f>2000</f>
        <v>2000</v>
      </c>
      <c r="D74" s="5">
        <f t="shared" si="1"/>
        <v>2000</v>
      </c>
    </row>
    <row r="75" spans="1:4" x14ac:dyDescent="0.25">
      <c r="A75" s="3" t="s">
        <v>190</v>
      </c>
      <c r="B75" s="4"/>
      <c r="C75" s="5">
        <f>1200</f>
        <v>1200</v>
      </c>
      <c r="D75" s="5">
        <f t="shared" si="1"/>
        <v>1200</v>
      </c>
    </row>
    <row r="76" spans="1:4" x14ac:dyDescent="0.25">
      <c r="A76" s="3" t="s">
        <v>191</v>
      </c>
      <c r="B76" s="4"/>
      <c r="C76" s="4"/>
      <c r="D76" s="5">
        <f t="shared" si="1"/>
        <v>0</v>
      </c>
    </row>
    <row r="77" spans="1:4" x14ac:dyDescent="0.25">
      <c r="A77" s="3" t="s">
        <v>192</v>
      </c>
      <c r="B77" s="6">
        <f>(((((((((B67)+(B68))+(B69))+(B70))+(B71))+(B72))+(B73))+(B74))+(B75))+(B76)</f>
        <v>0</v>
      </c>
      <c r="C77" s="6">
        <f>(((((((((C67)+(C68))+(C69))+(C70))+(C71))+(C72))+(C73))+(C74))+(C75))+(C76)</f>
        <v>16900</v>
      </c>
      <c r="D77" s="6">
        <f t="shared" si="1"/>
        <v>16900</v>
      </c>
    </row>
    <row r="78" spans="1:4" x14ac:dyDescent="0.25">
      <c r="A78" s="3" t="s">
        <v>193</v>
      </c>
      <c r="B78" s="4"/>
      <c r="C78" s="4"/>
      <c r="D78" s="5">
        <f t="shared" si="1"/>
        <v>0</v>
      </c>
    </row>
    <row r="79" spans="1:4" x14ac:dyDescent="0.25">
      <c r="A79" s="3" t="s">
        <v>194</v>
      </c>
      <c r="B79" s="4"/>
      <c r="C79" s="5">
        <f>9000</f>
        <v>9000</v>
      </c>
      <c r="D79" s="5">
        <f t="shared" si="1"/>
        <v>9000</v>
      </c>
    </row>
    <row r="80" spans="1:4" x14ac:dyDescent="0.25">
      <c r="A80" s="3" t="s">
        <v>195</v>
      </c>
      <c r="B80" s="4"/>
      <c r="C80" s="5">
        <f>1500</f>
        <v>1500</v>
      </c>
      <c r="D80" s="5">
        <f t="shared" si="1"/>
        <v>1500</v>
      </c>
    </row>
    <row r="81" spans="1:4" x14ac:dyDescent="0.25">
      <c r="A81" s="3" t="s">
        <v>196</v>
      </c>
      <c r="B81" s="4"/>
      <c r="C81" s="5">
        <f>6750</f>
        <v>6750</v>
      </c>
      <c r="D81" s="5">
        <f t="shared" si="1"/>
        <v>6750</v>
      </c>
    </row>
    <row r="82" spans="1:4" x14ac:dyDescent="0.25">
      <c r="A82" s="3" t="s">
        <v>197</v>
      </c>
      <c r="B82" s="4"/>
      <c r="C82" s="4"/>
      <c r="D82" s="5">
        <f t="shared" si="1"/>
        <v>0</v>
      </c>
    </row>
    <row r="83" spans="1:4" x14ac:dyDescent="0.25">
      <c r="A83" s="3" t="s">
        <v>198</v>
      </c>
      <c r="B83" s="4"/>
      <c r="C83" s="5">
        <f>1500</f>
        <v>1500</v>
      </c>
      <c r="D83" s="5">
        <f t="shared" si="1"/>
        <v>1500</v>
      </c>
    </row>
    <row r="84" spans="1:4" x14ac:dyDescent="0.25">
      <c r="A84" s="3" t="s">
        <v>199</v>
      </c>
      <c r="B84" s="6">
        <f>(B82)+(B83)</f>
        <v>0</v>
      </c>
      <c r="C84" s="6">
        <f>(C82)+(C83)</f>
        <v>1500</v>
      </c>
      <c r="D84" s="6">
        <f t="shared" si="1"/>
        <v>1500</v>
      </c>
    </row>
    <row r="85" spans="1:4" x14ac:dyDescent="0.25">
      <c r="A85" s="3" t="s">
        <v>200</v>
      </c>
      <c r="B85" s="4"/>
      <c r="C85" s="5">
        <f>25000</f>
        <v>25000</v>
      </c>
      <c r="D85" s="5">
        <f t="shared" si="1"/>
        <v>25000</v>
      </c>
    </row>
    <row r="86" spans="1:4" x14ac:dyDescent="0.25">
      <c r="A86" s="3" t="s">
        <v>201</v>
      </c>
      <c r="B86" s="4"/>
      <c r="C86" s="4"/>
      <c r="D86" s="5">
        <f t="shared" si="1"/>
        <v>0</v>
      </c>
    </row>
    <row r="87" spans="1:4" x14ac:dyDescent="0.25">
      <c r="A87" s="3" t="s">
        <v>202</v>
      </c>
      <c r="B87" s="4"/>
      <c r="C87" s="4"/>
      <c r="D87" s="5">
        <f t="shared" si="1"/>
        <v>0</v>
      </c>
    </row>
    <row r="88" spans="1:4" x14ac:dyDescent="0.25">
      <c r="A88" s="3" t="s">
        <v>203</v>
      </c>
      <c r="B88" s="4"/>
      <c r="C88" s="4"/>
      <c r="D88" s="5">
        <f t="shared" si="1"/>
        <v>0</v>
      </c>
    </row>
    <row r="89" spans="1:4" x14ac:dyDescent="0.25">
      <c r="A89" s="3" t="s">
        <v>204</v>
      </c>
      <c r="B89" s="6">
        <f>(((B85)+(B86))+(B87))+(B88)</f>
        <v>0</v>
      </c>
      <c r="C89" s="6">
        <f>(((C85)+(C86))+(C87))+(C88)</f>
        <v>25000</v>
      </c>
      <c r="D89" s="6">
        <f t="shared" si="1"/>
        <v>25000</v>
      </c>
    </row>
    <row r="90" spans="1:4" x14ac:dyDescent="0.25">
      <c r="A90" s="3" t="s">
        <v>205</v>
      </c>
      <c r="B90" s="4"/>
      <c r="C90" s="4"/>
      <c r="D90" s="5">
        <f t="shared" si="1"/>
        <v>0</v>
      </c>
    </row>
    <row r="91" spans="1:4" x14ac:dyDescent="0.25">
      <c r="A91" s="3" t="s">
        <v>206</v>
      </c>
      <c r="B91" s="4"/>
      <c r="C91" s="4"/>
      <c r="D91" s="5">
        <f t="shared" si="1"/>
        <v>0</v>
      </c>
    </row>
    <row r="92" spans="1:4" x14ac:dyDescent="0.25">
      <c r="A92" s="3" t="s">
        <v>207</v>
      </c>
      <c r="B92" s="6">
        <f>(((((((B78)+(B79))+(B80))+(B81))+(B84))+(B89))+(B90))+(B91)</f>
        <v>0</v>
      </c>
      <c r="C92" s="6">
        <f>(((((((C78)+(C79))+(C80))+(C81))+(C84))+(C89))+(C90))+(C91)</f>
        <v>43750</v>
      </c>
      <c r="D92" s="6">
        <f t="shared" si="1"/>
        <v>43750</v>
      </c>
    </row>
    <row r="93" spans="1:4" x14ac:dyDescent="0.25">
      <c r="A93" s="3" t="s">
        <v>208</v>
      </c>
      <c r="B93" s="4"/>
      <c r="C93" s="4"/>
      <c r="D93" s="5">
        <f t="shared" si="1"/>
        <v>0</v>
      </c>
    </row>
    <row r="94" spans="1:4" x14ac:dyDescent="0.25">
      <c r="A94" s="3" t="s">
        <v>209</v>
      </c>
      <c r="B94" s="4"/>
      <c r="C94" s="4"/>
      <c r="D94" s="5">
        <f t="shared" si="1"/>
        <v>0</v>
      </c>
    </row>
    <row r="95" spans="1:4" x14ac:dyDescent="0.25">
      <c r="A95" s="3" t="s">
        <v>210</v>
      </c>
      <c r="B95" s="4"/>
      <c r="C95" s="5">
        <f>2500</f>
        <v>2500</v>
      </c>
      <c r="D95" s="5">
        <f t="shared" si="1"/>
        <v>2500</v>
      </c>
    </row>
    <row r="96" spans="1:4" x14ac:dyDescent="0.25">
      <c r="A96" s="3" t="s">
        <v>211</v>
      </c>
      <c r="B96" s="4"/>
      <c r="C96" s="5">
        <f>5500</f>
        <v>5500</v>
      </c>
      <c r="D96" s="5">
        <f t="shared" si="1"/>
        <v>5500</v>
      </c>
    </row>
    <row r="97" spans="1:4" x14ac:dyDescent="0.25">
      <c r="A97" s="3" t="s">
        <v>212</v>
      </c>
      <c r="B97" s="4"/>
      <c r="C97" s="5">
        <f>1000</f>
        <v>1000</v>
      </c>
      <c r="D97" s="5">
        <f t="shared" si="1"/>
        <v>1000</v>
      </c>
    </row>
    <row r="98" spans="1:4" x14ac:dyDescent="0.25">
      <c r="A98" s="3" t="s">
        <v>213</v>
      </c>
      <c r="B98" s="4"/>
      <c r="C98" s="5">
        <f>30000</f>
        <v>30000</v>
      </c>
      <c r="D98" s="5">
        <f t="shared" si="1"/>
        <v>30000</v>
      </c>
    </row>
    <row r="99" spans="1:4" x14ac:dyDescent="0.25">
      <c r="A99" s="3" t="s">
        <v>214</v>
      </c>
      <c r="B99" s="4"/>
      <c r="C99" s="5">
        <f>10000</f>
        <v>10000</v>
      </c>
      <c r="D99" s="5">
        <f t="shared" si="1"/>
        <v>10000</v>
      </c>
    </row>
    <row r="100" spans="1:4" x14ac:dyDescent="0.25">
      <c r="A100" s="3" t="s">
        <v>215</v>
      </c>
      <c r="B100" s="4"/>
      <c r="C100" s="5">
        <f>25000</f>
        <v>25000</v>
      </c>
      <c r="D100" s="5">
        <f t="shared" si="1"/>
        <v>25000</v>
      </c>
    </row>
    <row r="101" spans="1:4" x14ac:dyDescent="0.25">
      <c r="A101" s="3" t="s">
        <v>216</v>
      </c>
      <c r="B101" s="4"/>
      <c r="C101" s="5">
        <f>1000</f>
        <v>1000</v>
      </c>
      <c r="D101" s="5">
        <f t="shared" si="1"/>
        <v>1000</v>
      </c>
    </row>
    <row r="102" spans="1:4" x14ac:dyDescent="0.25">
      <c r="A102" s="3" t="s">
        <v>217</v>
      </c>
      <c r="B102" s="4"/>
      <c r="C102" s="5">
        <f>7000</f>
        <v>7000</v>
      </c>
      <c r="D102" s="5">
        <f t="shared" si="1"/>
        <v>7000</v>
      </c>
    </row>
    <row r="103" spans="1:4" x14ac:dyDescent="0.25">
      <c r="A103" s="3" t="s">
        <v>218</v>
      </c>
      <c r="B103" s="4"/>
      <c r="C103" s="5">
        <f>3500</f>
        <v>3500</v>
      </c>
      <c r="D103" s="5">
        <f t="shared" si="1"/>
        <v>3500</v>
      </c>
    </row>
    <row r="104" spans="1:4" x14ac:dyDescent="0.25">
      <c r="A104" s="3" t="s">
        <v>219</v>
      </c>
      <c r="B104" s="6">
        <f>(((((((((B94)+(B95))+(B96))+(B97))+(B98))+(B99))+(B100))+(B101))+(B102))+(B103)</f>
        <v>0</v>
      </c>
      <c r="C104" s="6">
        <f>(((((((((C94)+(C95))+(C96))+(C97))+(C98))+(C99))+(C100))+(C101))+(C102))+(C103)</f>
        <v>85500</v>
      </c>
      <c r="D104" s="6">
        <f t="shared" si="1"/>
        <v>85500</v>
      </c>
    </row>
    <row r="105" spans="1:4" x14ac:dyDescent="0.25">
      <c r="A105" s="3" t="s">
        <v>220</v>
      </c>
      <c r="B105" s="4"/>
      <c r="C105" s="4"/>
      <c r="D105" s="5">
        <f t="shared" si="1"/>
        <v>0</v>
      </c>
    </row>
    <row r="106" spans="1:4" x14ac:dyDescent="0.25">
      <c r="A106" s="3" t="s">
        <v>221</v>
      </c>
      <c r="B106" s="4"/>
      <c r="C106" s="5">
        <f>2000</f>
        <v>2000</v>
      </c>
      <c r="D106" s="5">
        <f t="shared" si="1"/>
        <v>2000</v>
      </c>
    </row>
    <row r="107" spans="1:4" x14ac:dyDescent="0.25">
      <c r="A107" s="3" t="s">
        <v>222</v>
      </c>
      <c r="B107" s="4"/>
      <c r="C107" s="5">
        <f>5500</f>
        <v>5500</v>
      </c>
      <c r="D107" s="5">
        <f t="shared" si="1"/>
        <v>5500</v>
      </c>
    </row>
    <row r="108" spans="1:4" x14ac:dyDescent="0.25">
      <c r="A108" s="3" t="s">
        <v>223</v>
      </c>
      <c r="B108" s="4"/>
      <c r="C108" s="5">
        <f>1500</f>
        <v>1500</v>
      </c>
      <c r="D108" s="5">
        <f t="shared" si="1"/>
        <v>1500</v>
      </c>
    </row>
    <row r="109" spans="1:4" x14ac:dyDescent="0.25">
      <c r="A109" s="3" t="s">
        <v>224</v>
      </c>
      <c r="B109" s="4"/>
      <c r="C109" s="5">
        <f>1800</f>
        <v>1800</v>
      </c>
      <c r="D109" s="5">
        <f t="shared" si="1"/>
        <v>1800</v>
      </c>
    </row>
    <row r="110" spans="1:4" x14ac:dyDescent="0.25">
      <c r="A110" s="3" t="s">
        <v>225</v>
      </c>
      <c r="B110" s="4"/>
      <c r="C110" s="5">
        <f>3000</f>
        <v>3000</v>
      </c>
      <c r="D110" s="5">
        <f t="shared" si="1"/>
        <v>3000</v>
      </c>
    </row>
    <row r="111" spans="1:4" x14ac:dyDescent="0.25">
      <c r="A111" s="3" t="s">
        <v>226</v>
      </c>
      <c r="B111" s="4"/>
      <c r="C111" s="4"/>
      <c r="D111" s="5">
        <f t="shared" si="1"/>
        <v>0</v>
      </c>
    </row>
    <row r="112" spans="1:4" x14ac:dyDescent="0.25">
      <c r="A112" s="3" t="s">
        <v>227</v>
      </c>
      <c r="B112" s="4"/>
      <c r="C112" s="5">
        <f>1600</f>
        <v>1600</v>
      </c>
      <c r="D112" s="5">
        <f t="shared" si="1"/>
        <v>1600</v>
      </c>
    </row>
    <row r="113" spans="1:4" x14ac:dyDescent="0.25">
      <c r="A113" s="3" t="s">
        <v>228</v>
      </c>
      <c r="B113" s="4"/>
      <c r="C113" s="5">
        <f>1500</f>
        <v>1500</v>
      </c>
      <c r="D113" s="5">
        <f t="shared" si="1"/>
        <v>1500</v>
      </c>
    </row>
    <row r="114" spans="1:4" x14ac:dyDescent="0.25">
      <c r="A114" s="3" t="s">
        <v>229</v>
      </c>
      <c r="B114" s="4"/>
      <c r="C114" s="5">
        <f>4000</f>
        <v>4000</v>
      </c>
      <c r="D114" s="5">
        <f t="shared" si="1"/>
        <v>4000</v>
      </c>
    </row>
    <row r="115" spans="1:4" x14ac:dyDescent="0.25">
      <c r="A115" s="3" t="s">
        <v>230</v>
      </c>
      <c r="B115" s="4"/>
      <c r="C115" s="5">
        <f>5000</f>
        <v>5000</v>
      </c>
      <c r="D115" s="5">
        <f t="shared" si="1"/>
        <v>5000</v>
      </c>
    </row>
    <row r="116" spans="1:4" x14ac:dyDescent="0.25">
      <c r="A116" s="3" t="s">
        <v>231</v>
      </c>
      <c r="B116" s="6">
        <f>((((((((((B105)+(B106))+(B107))+(B108))+(B109))+(B110))+(B111))+(B112))+(B113))+(B114))+(B115)</f>
        <v>0</v>
      </c>
      <c r="C116" s="6">
        <f>((((((((((C105)+(C106))+(C107))+(C108))+(C109))+(C110))+(C111))+(C112))+(C113))+(C114))+(C115)</f>
        <v>25900</v>
      </c>
      <c r="D116" s="6">
        <f t="shared" si="1"/>
        <v>25900</v>
      </c>
    </row>
    <row r="117" spans="1:4" x14ac:dyDescent="0.25">
      <c r="A117" s="3" t="s">
        <v>232</v>
      </c>
      <c r="B117" s="4"/>
      <c r="C117" s="4"/>
      <c r="D117" s="5">
        <f t="shared" ref="D117:D156" si="2">(B117)+(C117)</f>
        <v>0</v>
      </c>
    </row>
    <row r="118" spans="1:4" x14ac:dyDescent="0.25">
      <c r="A118" s="3" t="s">
        <v>233</v>
      </c>
      <c r="B118" s="4"/>
      <c r="C118" s="4"/>
      <c r="D118" s="5">
        <f t="shared" si="2"/>
        <v>0</v>
      </c>
    </row>
    <row r="119" spans="1:4" x14ac:dyDescent="0.25">
      <c r="A119" s="3" t="s">
        <v>234</v>
      </c>
      <c r="B119" s="4"/>
      <c r="C119" s="5">
        <f>1200</f>
        <v>1200</v>
      </c>
      <c r="D119" s="5">
        <f t="shared" si="2"/>
        <v>1200</v>
      </c>
    </row>
    <row r="120" spans="1:4" x14ac:dyDescent="0.25">
      <c r="A120" s="3" t="s">
        <v>235</v>
      </c>
      <c r="B120" s="4"/>
      <c r="C120" s="5">
        <f>1500</f>
        <v>1500</v>
      </c>
      <c r="D120" s="5">
        <f t="shared" si="2"/>
        <v>1500</v>
      </c>
    </row>
    <row r="121" spans="1:4" x14ac:dyDescent="0.25">
      <c r="A121" s="3" t="s">
        <v>236</v>
      </c>
      <c r="B121" s="6">
        <f>((B118)+(B119))+(B120)</f>
        <v>0</v>
      </c>
      <c r="C121" s="6">
        <f>((C118)+(C119))+(C120)</f>
        <v>2700</v>
      </c>
      <c r="D121" s="6">
        <f t="shared" si="2"/>
        <v>2700</v>
      </c>
    </row>
    <row r="122" spans="1:4" x14ac:dyDescent="0.25">
      <c r="A122" s="3" t="s">
        <v>237</v>
      </c>
      <c r="B122" s="4"/>
      <c r="C122" s="4"/>
      <c r="D122" s="5">
        <f t="shared" si="2"/>
        <v>0</v>
      </c>
    </row>
    <row r="123" spans="1:4" x14ac:dyDescent="0.25">
      <c r="A123" s="3" t="s">
        <v>238</v>
      </c>
      <c r="B123" s="4"/>
      <c r="C123" s="5">
        <f>1400</f>
        <v>1400</v>
      </c>
      <c r="D123" s="5">
        <f t="shared" si="2"/>
        <v>1400</v>
      </c>
    </row>
    <row r="124" spans="1:4" x14ac:dyDescent="0.25">
      <c r="A124" s="3" t="s">
        <v>239</v>
      </c>
      <c r="B124" s="4"/>
      <c r="C124" s="5">
        <f>2200</f>
        <v>2200</v>
      </c>
      <c r="D124" s="5">
        <f t="shared" si="2"/>
        <v>2200</v>
      </c>
    </row>
    <row r="125" spans="1:4" x14ac:dyDescent="0.25">
      <c r="A125" s="3" t="s">
        <v>240</v>
      </c>
      <c r="B125" s="6">
        <f>((B122)+(B123))+(B124)</f>
        <v>0</v>
      </c>
      <c r="C125" s="6">
        <f>((C122)+(C123))+(C124)</f>
        <v>3600</v>
      </c>
      <c r="D125" s="6">
        <f t="shared" si="2"/>
        <v>3600</v>
      </c>
    </row>
    <row r="126" spans="1:4" x14ac:dyDescent="0.25">
      <c r="A126" s="3" t="s">
        <v>241</v>
      </c>
      <c r="B126" s="4"/>
      <c r="C126" s="5">
        <f>3000</f>
        <v>3000</v>
      </c>
      <c r="D126" s="5">
        <f t="shared" si="2"/>
        <v>3000</v>
      </c>
    </row>
    <row r="127" spans="1:4" x14ac:dyDescent="0.25">
      <c r="A127" s="3" t="s">
        <v>242</v>
      </c>
      <c r="B127" s="6">
        <f>(((B117)+(B121))+(B125))+(B126)</f>
        <v>0</v>
      </c>
      <c r="C127" s="6">
        <f>(((C117)+(C121))+(C125))+(C126)</f>
        <v>9300</v>
      </c>
      <c r="D127" s="6">
        <f t="shared" si="2"/>
        <v>9300</v>
      </c>
    </row>
    <row r="128" spans="1:4" x14ac:dyDescent="0.25">
      <c r="A128" s="3" t="s">
        <v>243</v>
      </c>
      <c r="B128" s="4"/>
      <c r="C128" s="4"/>
      <c r="D128" s="5">
        <f t="shared" si="2"/>
        <v>0</v>
      </c>
    </row>
    <row r="129" spans="1:4" x14ac:dyDescent="0.25">
      <c r="A129" s="3" t="s">
        <v>244</v>
      </c>
      <c r="B129" s="4"/>
      <c r="C129" s="4"/>
      <c r="D129" s="5">
        <f t="shared" si="2"/>
        <v>0</v>
      </c>
    </row>
    <row r="130" spans="1:4" x14ac:dyDescent="0.25">
      <c r="A130" s="3" t="s">
        <v>245</v>
      </c>
      <c r="B130" s="4"/>
      <c r="C130" s="5">
        <f>2900</f>
        <v>2900</v>
      </c>
      <c r="D130" s="5">
        <f t="shared" si="2"/>
        <v>2900</v>
      </c>
    </row>
    <row r="131" spans="1:4" x14ac:dyDescent="0.25">
      <c r="A131" s="3" t="s">
        <v>246</v>
      </c>
      <c r="B131" s="6">
        <f>((B128)+(B129))+(B130)</f>
        <v>0</v>
      </c>
      <c r="C131" s="6">
        <f>((C128)+(C129))+(C130)</f>
        <v>2900</v>
      </c>
      <c r="D131" s="6">
        <f t="shared" si="2"/>
        <v>2900</v>
      </c>
    </row>
    <row r="132" spans="1:4" x14ac:dyDescent="0.25">
      <c r="A132" s="3" t="s">
        <v>247</v>
      </c>
      <c r="B132" s="4"/>
      <c r="C132" s="4"/>
      <c r="D132" s="5">
        <f t="shared" si="2"/>
        <v>0</v>
      </c>
    </row>
    <row r="133" spans="1:4" x14ac:dyDescent="0.25">
      <c r="A133" s="3" t="s">
        <v>248</v>
      </c>
      <c r="B133" s="5">
        <f>3500</f>
        <v>3500</v>
      </c>
      <c r="C133" s="4"/>
      <c r="D133" s="5">
        <f t="shared" si="2"/>
        <v>3500</v>
      </c>
    </row>
    <row r="134" spans="1:4" x14ac:dyDescent="0.25">
      <c r="A134" s="3" t="s">
        <v>249</v>
      </c>
      <c r="B134" s="5">
        <f>1000</f>
        <v>1000</v>
      </c>
      <c r="C134" s="4"/>
      <c r="D134" s="5">
        <f t="shared" si="2"/>
        <v>1000</v>
      </c>
    </row>
    <row r="135" spans="1:4" x14ac:dyDescent="0.25">
      <c r="A135" s="3" t="s">
        <v>250</v>
      </c>
      <c r="B135" s="5">
        <f>2400</f>
        <v>2400</v>
      </c>
      <c r="C135" s="4"/>
      <c r="D135" s="5">
        <f t="shared" si="2"/>
        <v>2400</v>
      </c>
    </row>
    <row r="136" spans="1:4" x14ac:dyDescent="0.25">
      <c r="A136" s="3" t="s">
        <v>251</v>
      </c>
      <c r="B136" s="5">
        <f>500</f>
        <v>500</v>
      </c>
      <c r="C136" s="4"/>
      <c r="D136" s="5">
        <f t="shared" si="2"/>
        <v>500</v>
      </c>
    </row>
    <row r="137" spans="1:4" x14ac:dyDescent="0.25">
      <c r="A137" s="3" t="s">
        <v>252</v>
      </c>
      <c r="B137" s="5">
        <f>200</f>
        <v>200</v>
      </c>
      <c r="C137" s="4"/>
      <c r="D137" s="5">
        <f t="shared" si="2"/>
        <v>200</v>
      </c>
    </row>
    <row r="138" spans="1:4" x14ac:dyDescent="0.25">
      <c r="A138" s="3" t="s">
        <v>253</v>
      </c>
      <c r="B138" s="5">
        <f>28000</f>
        <v>28000</v>
      </c>
      <c r="C138" s="4"/>
      <c r="D138" s="5">
        <f t="shared" si="2"/>
        <v>28000</v>
      </c>
    </row>
    <row r="139" spans="1:4" x14ac:dyDescent="0.25">
      <c r="A139" s="3" t="s">
        <v>254</v>
      </c>
      <c r="B139" s="6">
        <f>((((((B132)+(B133))+(B134))+(B135))+(B136))+(B137))+(B138)</f>
        <v>35600</v>
      </c>
      <c r="C139" s="6">
        <f>((((((C132)+(C133))+(C134))+(C135))+(C136))+(C137))+(C138)</f>
        <v>0</v>
      </c>
      <c r="D139" s="6">
        <f t="shared" si="2"/>
        <v>35600</v>
      </c>
    </row>
    <row r="140" spans="1:4" x14ac:dyDescent="0.25">
      <c r="A140" s="3" t="s">
        <v>255</v>
      </c>
      <c r="B140" s="4"/>
      <c r="C140" s="4"/>
      <c r="D140" s="5">
        <f t="shared" si="2"/>
        <v>0</v>
      </c>
    </row>
    <row r="141" spans="1:4" x14ac:dyDescent="0.25">
      <c r="A141" s="3" t="s">
        <v>256</v>
      </c>
      <c r="B141" s="4"/>
      <c r="C141" s="4"/>
      <c r="D141" s="5">
        <f t="shared" si="2"/>
        <v>0</v>
      </c>
    </row>
    <row r="142" spans="1:4" x14ac:dyDescent="0.25">
      <c r="A142" s="3" t="s">
        <v>257</v>
      </c>
      <c r="B142" s="4"/>
      <c r="C142" s="4"/>
      <c r="D142" s="5">
        <f t="shared" si="2"/>
        <v>0</v>
      </c>
    </row>
    <row r="143" spans="1:4" x14ac:dyDescent="0.25">
      <c r="A143" s="3" t="s">
        <v>258</v>
      </c>
      <c r="B143" s="4"/>
      <c r="C143" s="4"/>
      <c r="D143" s="5">
        <f t="shared" si="2"/>
        <v>0</v>
      </c>
    </row>
    <row r="144" spans="1:4" x14ac:dyDescent="0.25">
      <c r="A144" s="3" t="s">
        <v>259</v>
      </c>
      <c r="B144" s="4"/>
      <c r="C144" s="4"/>
      <c r="D144" s="5">
        <f t="shared" si="2"/>
        <v>0</v>
      </c>
    </row>
    <row r="145" spans="1:4" x14ac:dyDescent="0.25">
      <c r="A145" s="3" t="s">
        <v>260</v>
      </c>
      <c r="B145" s="4"/>
      <c r="C145" s="4"/>
      <c r="D145" s="5">
        <f t="shared" si="2"/>
        <v>0</v>
      </c>
    </row>
    <row r="146" spans="1:4" x14ac:dyDescent="0.25">
      <c r="A146" s="3" t="s">
        <v>261</v>
      </c>
      <c r="B146" s="4"/>
      <c r="C146" s="4"/>
      <c r="D146" s="5">
        <f t="shared" si="2"/>
        <v>0</v>
      </c>
    </row>
    <row r="147" spans="1:4" x14ac:dyDescent="0.25">
      <c r="A147" s="3" t="s">
        <v>262</v>
      </c>
      <c r="B147" s="4"/>
      <c r="C147" s="4"/>
      <c r="D147" s="5">
        <f t="shared" si="2"/>
        <v>0</v>
      </c>
    </row>
    <row r="148" spans="1:4" x14ac:dyDescent="0.25">
      <c r="A148" s="3" t="s">
        <v>263</v>
      </c>
      <c r="B148" s="6">
        <f>(((((((B140)+(B141))+(B142))+(B143))+(B144))+(B145))+(B146))+(B147)</f>
        <v>0</v>
      </c>
      <c r="C148" s="6">
        <f>(((((((C140)+(C141))+(C142))+(C143))+(C144))+(C145))+(C146))+(C147)</f>
        <v>0</v>
      </c>
      <c r="D148" s="6">
        <f t="shared" si="2"/>
        <v>0</v>
      </c>
    </row>
    <row r="149" spans="1:4" x14ac:dyDescent="0.25">
      <c r="A149" s="3" t="s">
        <v>264</v>
      </c>
      <c r="B149" s="4"/>
      <c r="C149" s="4"/>
      <c r="D149" s="5">
        <f t="shared" si="2"/>
        <v>0</v>
      </c>
    </row>
    <row r="150" spans="1:4" x14ac:dyDescent="0.25">
      <c r="A150" s="3" t="s">
        <v>265</v>
      </c>
      <c r="B150" s="4"/>
      <c r="C150" s="4"/>
      <c r="D150" s="5">
        <f t="shared" si="2"/>
        <v>0</v>
      </c>
    </row>
    <row r="151" spans="1:4" x14ac:dyDescent="0.25">
      <c r="A151" s="3" t="s">
        <v>266</v>
      </c>
      <c r="B151" s="6">
        <f>(B149)+(B150)</f>
        <v>0</v>
      </c>
      <c r="C151" s="6">
        <f>(C149)+(C150)</f>
        <v>0</v>
      </c>
      <c r="D151" s="6">
        <f t="shared" si="2"/>
        <v>0</v>
      </c>
    </row>
    <row r="152" spans="1:4" x14ac:dyDescent="0.25">
      <c r="A152" s="3" t="s">
        <v>267</v>
      </c>
      <c r="B152" s="4"/>
      <c r="C152" s="4"/>
      <c r="D152" s="5">
        <f t="shared" si="2"/>
        <v>0</v>
      </c>
    </row>
    <row r="153" spans="1:4" x14ac:dyDescent="0.25">
      <c r="A153" s="3" t="s">
        <v>268</v>
      </c>
      <c r="B153" s="4"/>
      <c r="C153" s="4"/>
      <c r="D153" s="5">
        <f t="shared" si="2"/>
        <v>0</v>
      </c>
    </row>
    <row r="154" spans="1:4" x14ac:dyDescent="0.25">
      <c r="A154" s="3" t="s">
        <v>269</v>
      </c>
      <c r="B154" s="4"/>
      <c r="C154" s="4"/>
      <c r="D154" s="5">
        <f t="shared" si="2"/>
        <v>0</v>
      </c>
    </row>
    <row r="155" spans="1:4" x14ac:dyDescent="0.25">
      <c r="A155" s="3" t="s">
        <v>270</v>
      </c>
      <c r="B155" s="6">
        <f>((((((((((((((B65)+(B66))+(B77))+(B92))+(B93))+(B104))+(B116))+(B127))+(B131))+(B139))+(B148))+(B151))+(B152))+(B153))+(B154)</f>
        <v>35600</v>
      </c>
      <c r="C155" s="6">
        <f>((((((((((((((C65)+(C66))+(C77))+(C92))+(C93))+(C104))+(C116))+(C127))+(C131))+(C139))+(C148))+(C151))+(C152))+(C153))+(C154)</f>
        <v>346520</v>
      </c>
      <c r="D155" s="6">
        <f t="shared" si="2"/>
        <v>382120</v>
      </c>
    </row>
    <row r="156" spans="1:4" x14ac:dyDescent="0.25">
      <c r="A156" s="3" t="s">
        <v>271</v>
      </c>
      <c r="B156" s="6">
        <f>(B51)-(B155)</f>
        <v>-34600</v>
      </c>
      <c r="C156" s="6">
        <f>(C51)-(C155)</f>
        <v>104170</v>
      </c>
      <c r="D156" s="6">
        <f t="shared" si="2"/>
        <v>69570</v>
      </c>
    </row>
    <row r="157" spans="1:4" x14ac:dyDescent="0.25">
      <c r="A157" s="3" t="s">
        <v>24</v>
      </c>
      <c r="B157" s="4"/>
      <c r="C157" s="4"/>
      <c r="D157" s="4"/>
    </row>
    <row r="158" spans="1:4" x14ac:dyDescent="0.25">
      <c r="A158" s="3" t="s">
        <v>272</v>
      </c>
      <c r="B158" s="4"/>
      <c r="C158" s="4"/>
      <c r="D158" s="5">
        <f>(B158)+(C158)</f>
        <v>0</v>
      </c>
    </row>
    <row r="159" spans="1:4" x14ac:dyDescent="0.25">
      <c r="A159" s="3" t="s">
        <v>273</v>
      </c>
      <c r="B159" s="4"/>
      <c r="C159" s="4"/>
      <c r="D159" s="5">
        <f>(B159)+(C159)</f>
        <v>0</v>
      </c>
    </row>
    <row r="160" spans="1:4" x14ac:dyDescent="0.25">
      <c r="A160" s="3" t="s">
        <v>274</v>
      </c>
      <c r="B160" s="6">
        <f>(B158)+(B159)</f>
        <v>0</v>
      </c>
      <c r="C160" s="6">
        <f>(C158)+(C159)</f>
        <v>0</v>
      </c>
      <c r="D160" s="6">
        <f>(B160)+(C160)</f>
        <v>0</v>
      </c>
    </row>
    <row r="161" spans="1:4" x14ac:dyDescent="0.25">
      <c r="A161" s="3" t="s">
        <v>275</v>
      </c>
      <c r="B161" s="4"/>
      <c r="C161" s="4"/>
      <c r="D161" s="4"/>
    </row>
    <row r="162" spans="1:4" x14ac:dyDescent="0.25">
      <c r="A162" s="3" t="s">
        <v>276</v>
      </c>
      <c r="B162" s="4"/>
      <c r="C162" s="4"/>
      <c r="D162" s="5">
        <f t="shared" ref="D162:D171" si="3">(B162)+(C162)</f>
        <v>0</v>
      </c>
    </row>
    <row r="163" spans="1:4" x14ac:dyDescent="0.25">
      <c r="A163" s="3" t="s">
        <v>277</v>
      </c>
      <c r="B163" s="4"/>
      <c r="C163" s="4"/>
      <c r="D163" s="5">
        <f t="shared" si="3"/>
        <v>0</v>
      </c>
    </row>
    <row r="164" spans="1:4" x14ac:dyDescent="0.25">
      <c r="A164" s="3" t="s">
        <v>278</v>
      </c>
      <c r="B164" s="4"/>
      <c r="C164" s="4"/>
      <c r="D164" s="5">
        <f t="shared" si="3"/>
        <v>0</v>
      </c>
    </row>
    <row r="165" spans="1:4" x14ac:dyDescent="0.25">
      <c r="A165" s="3" t="s">
        <v>279</v>
      </c>
      <c r="B165" s="4"/>
      <c r="C165" s="4"/>
      <c r="D165" s="5">
        <f t="shared" si="3"/>
        <v>0</v>
      </c>
    </row>
    <row r="166" spans="1:4" x14ac:dyDescent="0.25">
      <c r="A166" s="3" t="s">
        <v>280</v>
      </c>
      <c r="B166" s="4"/>
      <c r="C166" s="5">
        <f>12610</f>
        <v>12610</v>
      </c>
      <c r="D166" s="5">
        <f t="shared" si="3"/>
        <v>12610</v>
      </c>
    </row>
    <row r="167" spans="1:4" x14ac:dyDescent="0.25">
      <c r="A167" s="3" t="s">
        <v>281</v>
      </c>
      <c r="B167" s="4"/>
      <c r="C167" s="4"/>
      <c r="D167" s="5">
        <f t="shared" si="3"/>
        <v>0</v>
      </c>
    </row>
    <row r="168" spans="1:4" x14ac:dyDescent="0.25">
      <c r="A168" s="3" t="s">
        <v>282</v>
      </c>
      <c r="B168" s="4"/>
      <c r="C168" s="4"/>
      <c r="D168" s="5">
        <f t="shared" si="3"/>
        <v>0</v>
      </c>
    </row>
    <row r="169" spans="1:4" x14ac:dyDescent="0.25">
      <c r="A169" s="3" t="s">
        <v>283</v>
      </c>
      <c r="B169" s="6">
        <f>((((((B162)+(B163))+(B164))+(B165))+(B166))+(B167))+(B168)</f>
        <v>0</v>
      </c>
      <c r="C169" s="6">
        <f>((((((C162)+(C163))+(C164))+(C165))+(C166))+(C167))+(C168)</f>
        <v>12610</v>
      </c>
      <c r="D169" s="6">
        <f t="shared" si="3"/>
        <v>12610</v>
      </c>
    </row>
    <row r="170" spans="1:4" x14ac:dyDescent="0.25">
      <c r="A170" s="3" t="s">
        <v>284</v>
      </c>
      <c r="B170" s="6">
        <f>(B160)-(B169)</f>
        <v>0</v>
      </c>
      <c r="C170" s="6">
        <f>(C160)-(C169)</f>
        <v>-12610</v>
      </c>
      <c r="D170" s="6">
        <f t="shared" si="3"/>
        <v>-12610</v>
      </c>
    </row>
    <row r="171" spans="1:4" x14ac:dyDescent="0.25">
      <c r="A171" s="3" t="s">
        <v>285</v>
      </c>
      <c r="B171" s="6">
        <f>(B156)+(B170)</f>
        <v>-34600</v>
      </c>
      <c r="C171" s="6">
        <f>(C156)+(C170)</f>
        <v>91560</v>
      </c>
      <c r="D171" s="6">
        <f t="shared" si="3"/>
        <v>56960</v>
      </c>
    </row>
    <row r="172" spans="1:4" x14ac:dyDescent="0.25">
      <c r="A172" s="3"/>
      <c r="B172" s="4"/>
      <c r="C172" s="4"/>
      <c r="D172" s="4"/>
    </row>
    <row r="175" spans="1:4" x14ac:dyDescent="0.25">
      <c r="A175" s="158" t="s">
        <v>286</v>
      </c>
      <c r="B175" s="156"/>
      <c r="C175" s="156"/>
      <c r="D175" s="156"/>
    </row>
  </sheetData>
  <mergeCells count="4">
    <mergeCell ref="A1:D1"/>
    <mergeCell ref="A2:D2"/>
    <mergeCell ref="A3:D3"/>
    <mergeCell ref="A175:D17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7"/>
  <sheetViews>
    <sheetView tabSelected="1" zoomScale="126" zoomScaleNormal="125" zoomScalePageLayoutView="125" workbookViewId="0">
      <selection activeCell="G23" sqref="G23"/>
    </sheetView>
  </sheetViews>
  <sheetFormatPr defaultColWidth="8.85546875" defaultRowHeight="15" x14ac:dyDescent="0.25"/>
  <cols>
    <col min="1" max="1" width="37.28515625" style="140" customWidth="1"/>
    <col min="2" max="2" width="20.7109375" style="140" customWidth="1"/>
    <col min="3" max="16384" width="8.85546875" style="140"/>
  </cols>
  <sheetData>
    <row r="1" spans="1:2" ht="18" x14ac:dyDescent="0.25">
      <c r="A1" s="155" t="s">
        <v>106</v>
      </c>
      <c r="B1" s="156"/>
    </row>
    <row r="2" spans="1:2" ht="18" x14ac:dyDescent="0.25">
      <c r="A2" s="155" t="s">
        <v>287</v>
      </c>
      <c r="B2" s="156"/>
    </row>
    <row r="3" spans="1:2" x14ac:dyDescent="0.25">
      <c r="A3" s="157" t="s">
        <v>288</v>
      </c>
      <c r="B3" s="156"/>
    </row>
    <row r="4" spans="1:2" x14ac:dyDescent="0.25">
      <c r="A4" s="146"/>
      <c r="B4" s="146"/>
    </row>
    <row r="5" spans="1:2" x14ac:dyDescent="0.25">
      <c r="A5" s="145"/>
      <c r="B5" s="144" t="s">
        <v>114</v>
      </c>
    </row>
    <row r="6" spans="1:2" x14ac:dyDescent="0.25">
      <c r="A6" s="3" t="s">
        <v>97</v>
      </c>
      <c r="B6" s="4"/>
    </row>
    <row r="7" spans="1:2" x14ac:dyDescent="0.25">
      <c r="A7" s="3" t="s">
        <v>116</v>
      </c>
      <c r="B7" s="5">
        <v>0</v>
      </c>
    </row>
    <row r="8" spans="1:2" x14ac:dyDescent="0.25">
      <c r="A8" s="3" t="s">
        <v>118</v>
      </c>
      <c r="B8" s="5">
        <v>280000</v>
      </c>
    </row>
    <row r="9" spans="1:2" x14ac:dyDescent="0.25">
      <c r="A9" s="3" t="s">
        <v>121</v>
      </c>
      <c r="B9" s="6">
        <v>280000</v>
      </c>
    </row>
    <row r="10" spans="1:2" x14ac:dyDescent="0.25">
      <c r="A10" s="3" t="s">
        <v>122</v>
      </c>
      <c r="B10" s="5">
        <v>50000</v>
      </c>
    </row>
    <row r="11" spans="1:2" x14ac:dyDescent="0.25">
      <c r="A11" s="3" t="s">
        <v>124</v>
      </c>
      <c r="B11" s="5">
        <v>1000</v>
      </c>
    </row>
    <row r="12" spans="1:2" x14ac:dyDescent="0.25">
      <c r="A12" s="3" t="s">
        <v>125</v>
      </c>
      <c r="B12" s="5">
        <v>34000</v>
      </c>
    </row>
    <row r="13" spans="1:2" x14ac:dyDescent="0.25">
      <c r="A13" s="3" t="s">
        <v>127</v>
      </c>
      <c r="B13" s="5">
        <v>25000</v>
      </c>
    </row>
    <row r="14" spans="1:2" x14ac:dyDescent="0.25">
      <c r="A14" s="3" t="s">
        <v>128</v>
      </c>
      <c r="B14" s="5">
        <v>5000</v>
      </c>
    </row>
    <row r="15" spans="1:2" x14ac:dyDescent="0.25">
      <c r="A15" s="3" t="s">
        <v>129</v>
      </c>
      <c r="B15" s="6">
        <v>30000</v>
      </c>
    </row>
    <row r="16" spans="1:2" x14ac:dyDescent="0.25">
      <c r="A16" s="3" t="s">
        <v>130</v>
      </c>
      <c r="B16" s="5">
        <v>96000</v>
      </c>
    </row>
    <row r="17" spans="1:2" x14ac:dyDescent="0.25">
      <c r="A17" s="3" t="s">
        <v>132</v>
      </c>
      <c r="B17" s="5">
        <v>14500</v>
      </c>
    </row>
    <row r="18" spans="1:2" x14ac:dyDescent="0.25">
      <c r="A18" s="3" t="s">
        <v>133</v>
      </c>
      <c r="B18" s="5">
        <v>1500</v>
      </c>
    </row>
    <row r="19" spans="1:2" x14ac:dyDescent="0.25">
      <c r="A19" s="3" t="s">
        <v>134</v>
      </c>
      <c r="B19" s="5">
        <v>500</v>
      </c>
    </row>
    <row r="20" spans="1:2" x14ac:dyDescent="0.25">
      <c r="A20" s="3" t="s">
        <v>135</v>
      </c>
      <c r="B20" s="5">
        <v>0</v>
      </c>
    </row>
    <row r="21" spans="1:2" x14ac:dyDescent="0.25">
      <c r="A21" s="3" t="s">
        <v>141</v>
      </c>
      <c r="B21" s="5">
        <v>15000</v>
      </c>
    </row>
    <row r="22" spans="1:2" x14ac:dyDescent="0.25">
      <c r="A22" s="3" t="s">
        <v>144</v>
      </c>
      <c r="B22" s="5">
        <v>0</v>
      </c>
    </row>
    <row r="23" spans="1:2" x14ac:dyDescent="0.25">
      <c r="A23" s="3" t="s">
        <v>145</v>
      </c>
      <c r="B23" s="6">
        <v>15000</v>
      </c>
    </row>
    <row r="24" spans="1:2" x14ac:dyDescent="0.25">
      <c r="A24" s="3" t="s">
        <v>146</v>
      </c>
      <c r="B24" s="5">
        <v>500</v>
      </c>
    </row>
    <row r="25" spans="1:2" x14ac:dyDescent="0.25">
      <c r="A25" s="3" t="s">
        <v>147</v>
      </c>
      <c r="B25" s="5">
        <v>29500</v>
      </c>
    </row>
    <row r="26" spans="1:2" x14ac:dyDescent="0.25">
      <c r="A26" s="3" t="s">
        <v>148</v>
      </c>
      <c r="B26" s="5">
        <v>2500</v>
      </c>
    </row>
    <row r="27" spans="1:2" x14ac:dyDescent="0.25">
      <c r="A27" s="3" t="s">
        <v>152</v>
      </c>
      <c r="B27" s="5">
        <v>3000</v>
      </c>
    </row>
    <row r="28" spans="1:2" x14ac:dyDescent="0.25">
      <c r="A28" s="3" t="s">
        <v>155</v>
      </c>
      <c r="B28" s="5">
        <v>6000</v>
      </c>
    </row>
    <row r="29" spans="1:2" x14ac:dyDescent="0.25">
      <c r="A29" s="3" t="s">
        <v>156</v>
      </c>
      <c r="B29" s="5">
        <v>113550</v>
      </c>
    </row>
    <row r="30" spans="1:2" s="146" customFormat="1" x14ac:dyDescent="0.25">
      <c r="A30" s="3"/>
      <c r="B30" s="5"/>
    </row>
    <row r="31" spans="1:2" ht="15.75" thickBot="1" x14ac:dyDescent="0.3">
      <c r="A31" s="147" t="s">
        <v>162</v>
      </c>
      <c r="B31" s="153">
        <f>SUM(B7:B29)-B9-B15-B23</f>
        <v>677550</v>
      </c>
    </row>
    <row r="32" spans="1:2" ht="15.75" thickTop="1" x14ac:dyDescent="0.25">
      <c r="A32" s="3"/>
      <c r="B32" s="154"/>
    </row>
    <row r="33" spans="1:2" x14ac:dyDescent="0.25">
      <c r="A33" s="3" t="s">
        <v>167</v>
      </c>
      <c r="B33" s="4"/>
    </row>
    <row r="34" spans="1:2" x14ac:dyDescent="0.25">
      <c r="A34" s="3" t="s">
        <v>168</v>
      </c>
      <c r="B34" s="5"/>
    </row>
    <row r="35" spans="1:2" x14ac:dyDescent="0.25">
      <c r="A35" s="3" t="s">
        <v>169</v>
      </c>
      <c r="B35" s="5">
        <v>166180</v>
      </c>
    </row>
    <row r="36" spans="1:2" s="143" customFormat="1" x14ac:dyDescent="0.25">
      <c r="A36" s="3" t="s">
        <v>289</v>
      </c>
      <c r="B36" s="5">
        <v>7200</v>
      </c>
    </row>
    <row r="37" spans="1:2" ht="12.95" customHeight="1" x14ac:dyDescent="0.25">
      <c r="A37" s="3" t="s">
        <v>171</v>
      </c>
      <c r="B37" s="5">
        <v>8350</v>
      </c>
    </row>
    <row r="38" spans="1:2" x14ac:dyDescent="0.25">
      <c r="A38" s="3" t="s">
        <v>172</v>
      </c>
      <c r="B38" s="5">
        <v>840</v>
      </c>
    </row>
    <row r="39" spans="1:2" x14ac:dyDescent="0.25">
      <c r="A39" s="3" t="s">
        <v>173</v>
      </c>
      <c r="B39" s="150">
        <v>0</v>
      </c>
    </row>
    <row r="40" spans="1:2" x14ac:dyDescent="0.25">
      <c r="A40" s="3" t="s">
        <v>174</v>
      </c>
      <c r="B40" s="150">
        <v>12540</v>
      </c>
    </row>
    <row r="41" spans="1:2" x14ac:dyDescent="0.25">
      <c r="A41" s="3" t="s">
        <v>175</v>
      </c>
      <c r="B41" s="150">
        <v>180</v>
      </c>
    </row>
    <row r="42" spans="1:2" x14ac:dyDescent="0.25">
      <c r="A42" s="3" t="s">
        <v>176</v>
      </c>
      <c r="B42" s="149">
        <v>12720</v>
      </c>
    </row>
    <row r="43" spans="1:2" x14ac:dyDescent="0.25">
      <c r="A43" s="3" t="s">
        <v>177</v>
      </c>
      <c r="B43" s="150">
        <v>13600</v>
      </c>
    </row>
    <row r="44" spans="1:2" x14ac:dyDescent="0.25">
      <c r="A44" s="3" t="s">
        <v>179</v>
      </c>
      <c r="B44" s="150">
        <v>0</v>
      </c>
    </row>
    <row r="45" spans="1:2" x14ac:dyDescent="0.25">
      <c r="A45" s="3" t="s">
        <v>180</v>
      </c>
      <c r="B45" s="149">
        <f>SUM(B34:B44)-B42</f>
        <v>208890</v>
      </c>
    </row>
    <row r="46" spans="1:2" x14ac:dyDescent="0.25">
      <c r="A46" s="3" t="s">
        <v>182</v>
      </c>
      <c r="B46" s="150"/>
    </row>
    <row r="47" spans="1:2" x14ac:dyDescent="0.25">
      <c r="A47" s="3" t="s">
        <v>184</v>
      </c>
      <c r="B47" s="150">
        <v>5000</v>
      </c>
    </row>
    <row r="48" spans="1:2" x14ac:dyDescent="0.25">
      <c r="A48" s="3" t="s">
        <v>290</v>
      </c>
      <c r="B48" s="150">
        <v>1500</v>
      </c>
    </row>
    <row r="49" spans="1:2" x14ac:dyDescent="0.25">
      <c r="A49" s="3" t="s">
        <v>185</v>
      </c>
      <c r="B49" s="150">
        <v>650</v>
      </c>
    </row>
    <row r="50" spans="1:2" x14ac:dyDescent="0.25">
      <c r="A50" s="3" t="s">
        <v>186</v>
      </c>
      <c r="B50" s="150">
        <v>0</v>
      </c>
    </row>
    <row r="51" spans="1:2" x14ac:dyDescent="0.25">
      <c r="A51" s="3" t="s">
        <v>187</v>
      </c>
      <c r="B51" s="150">
        <v>2500</v>
      </c>
    </row>
    <row r="52" spans="1:2" x14ac:dyDescent="0.25">
      <c r="A52" s="3" t="s">
        <v>188</v>
      </c>
      <c r="B52" s="150">
        <v>1800</v>
      </c>
    </row>
    <row r="53" spans="1:2" x14ac:dyDescent="0.25">
      <c r="A53" s="3" t="s">
        <v>189</v>
      </c>
      <c r="B53" s="150">
        <v>5000</v>
      </c>
    </row>
    <row r="54" spans="1:2" x14ac:dyDescent="0.25">
      <c r="A54" s="3" t="s">
        <v>190</v>
      </c>
      <c r="B54" s="150">
        <v>110</v>
      </c>
    </row>
    <row r="55" spans="1:2" x14ac:dyDescent="0.25">
      <c r="A55" s="3" t="s">
        <v>191</v>
      </c>
      <c r="B55" s="150">
        <v>7000</v>
      </c>
    </row>
    <row r="56" spans="1:2" x14ac:dyDescent="0.25">
      <c r="A56" s="3" t="s">
        <v>192</v>
      </c>
      <c r="B56" s="149">
        <f>SUM(B46:B55)</f>
        <v>23560</v>
      </c>
    </row>
    <row r="57" spans="1:2" x14ac:dyDescent="0.25">
      <c r="A57" s="3" t="s">
        <v>193</v>
      </c>
      <c r="B57" s="150"/>
    </row>
    <row r="58" spans="1:2" x14ac:dyDescent="0.25">
      <c r="A58" s="3" t="s">
        <v>194</v>
      </c>
      <c r="B58" s="150">
        <v>9860</v>
      </c>
    </row>
    <row r="59" spans="1:2" x14ac:dyDescent="0.25">
      <c r="A59" s="3" t="s">
        <v>195</v>
      </c>
      <c r="B59" s="150">
        <v>4000</v>
      </c>
    </row>
    <row r="60" spans="1:2" x14ac:dyDescent="0.25">
      <c r="A60" s="3" t="s">
        <v>196</v>
      </c>
      <c r="B60" s="150">
        <v>3000</v>
      </c>
    </row>
    <row r="61" spans="1:2" x14ac:dyDescent="0.25">
      <c r="A61" s="3" t="s">
        <v>197</v>
      </c>
      <c r="B61" s="150">
        <v>20000</v>
      </c>
    </row>
    <row r="62" spans="1:2" x14ac:dyDescent="0.25">
      <c r="A62" s="3" t="s">
        <v>198</v>
      </c>
      <c r="B62" s="150">
        <v>0</v>
      </c>
    </row>
    <row r="63" spans="1:2" x14ac:dyDescent="0.25">
      <c r="A63" s="3" t="s">
        <v>199</v>
      </c>
      <c r="B63" s="149">
        <f>SUM(B58:B62)</f>
        <v>36860</v>
      </c>
    </row>
    <row r="64" spans="1:2" x14ac:dyDescent="0.25">
      <c r="A64" s="3" t="s">
        <v>200</v>
      </c>
      <c r="B64" s="150">
        <v>18000</v>
      </c>
    </row>
    <row r="65" spans="1:2" x14ac:dyDescent="0.25">
      <c r="A65" s="3" t="s">
        <v>205</v>
      </c>
      <c r="B65" s="150">
        <v>8000</v>
      </c>
    </row>
    <row r="66" spans="1:2" x14ac:dyDescent="0.25">
      <c r="A66" s="3" t="s">
        <v>206</v>
      </c>
      <c r="B66" s="150">
        <v>10000</v>
      </c>
    </row>
    <row r="67" spans="1:2" x14ac:dyDescent="0.25">
      <c r="A67" s="3" t="s">
        <v>207</v>
      </c>
      <c r="B67" s="149">
        <f>SUM(B58:B66)-B63</f>
        <v>72860</v>
      </c>
    </row>
    <row r="68" spans="1:2" x14ac:dyDescent="0.25">
      <c r="A68" s="3" t="s">
        <v>209</v>
      </c>
      <c r="B68" s="150"/>
    </row>
    <row r="69" spans="1:2" x14ac:dyDescent="0.25">
      <c r="A69" s="3" t="s">
        <v>210</v>
      </c>
      <c r="B69" s="150">
        <v>1000</v>
      </c>
    </row>
    <row r="70" spans="1:2" x14ac:dyDescent="0.25">
      <c r="A70" s="3" t="s">
        <v>211</v>
      </c>
      <c r="B70" s="150">
        <v>4000</v>
      </c>
    </row>
    <row r="71" spans="1:2" x14ac:dyDescent="0.25">
      <c r="A71" s="3" t="s">
        <v>212</v>
      </c>
      <c r="B71" s="150">
        <v>0</v>
      </c>
    </row>
    <row r="72" spans="1:2" x14ac:dyDescent="0.25">
      <c r="A72" s="3" t="s">
        <v>213</v>
      </c>
      <c r="B72" s="150">
        <v>30000</v>
      </c>
    </row>
    <row r="73" spans="1:2" x14ac:dyDescent="0.25">
      <c r="A73" s="3" t="s">
        <v>214</v>
      </c>
      <c r="B73" s="150">
        <v>10000</v>
      </c>
    </row>
    <row r="74" spans="1:2" x14ac:dyDescent="0.25">
      <c r="A74" s="3" t="s">
        <v>215</v>
      </c>
      <c r="B74" s="150">
        <v>150000</v>
      </c>
    </row>
    <row r="75" spans="1:2" x14ac:dyDescent="0.25">
      <c r="A75" s="3" t="s">
        <v>216</v>
      </c>
      <c r="B75" s="150">
        <v>6000</v>
      </c>
    </row>
    <row r="76" spans="1:2" x14ac:dyDescent="0.25">
      <c r="A76" s="3" t="s">
        <v>217</v>
      </c>
      <c r="B76" s="150">
        <v>1000</v>
      </c>
    </row>
    <row r="77" spans="1:2" s="141" customFormat="1" x14ac:dyDescent="0.25">
      <c r="A77" s="3" t="s">
        <v>218</v>
      </c>
      <c r="B77" s="150">
        <v>0</v>
      </c>
    </row>
    <row r="78" spans="1:2" x14ac:dyDescent="0.25">
      <c r="A78" s="3" t="s">
        <v>291</v>
      </c>
      <c r="B78" s="150">
        <v>2500</v>
      </c>
    </row>
    <row r="79" spans="1:2" x14ac:dyDescent="0.25">
      <c r="A79" s="3" t="s">
        <v>219</v>
      </c>
      <c r="B79" s="149">
        <f>SUM(B69:B78)</f>
        <v>204500</v>
      </c>
    </row>
    <row r="80" spans="1:2" x14ac:dyDescent="0.25">
      <c r="A80" s="3" t="s">
        <v>220</v>
      </c>
      <c r="B80" s="150"/>
    </row>
    <row r="81" spans="1:2" x14ac:dyDescent="0.25">
      <c r="A81" s="3" t="s">
        <v>221</v>
      </c>
      <c r="B81" s="150">
        <v>2500</v>
      </c>
    </row>
    <row r="82" spans="1:2" x14ac:dyDescent="0.25">
      <c r="A82" s="3" t="s">
        <v>222</v>
      </c>
      <c r="B82" s="150">
        <v>6500</v>
      </c>
    </row>
    <row r="83" spans="1:2" x14ac:dyDescent="0.25">
      <c r="A83" s="3" t="s">
        <v>223</v>
      </c>
      <c r="B83" s="150">
        <v>1500</v>
      </c>
    </row>
    <row r="84" spans="1:2" x14ac:dyDescent="0.25">
      <c r="A84" s="3" t="s">
        <v>224</v>
      </c>
      <c r="B84" s="150">
        <v>3000</v>
      </c>
    </row>
    <row r="85" spans="1:2" x14ac:dyDescent="0.25">
      <c r="A85" s="3" t="s">
        <v>225</v>
      </c>
      <c r="B85" s="150">
        <v>3560</v>
      </c>
    </row>
    <row r="86" spans="1:2" x14ac:dyDescent="0.25">
      <c r="A86" s="3" t="s">
        <v>227</v>
      </c>
      <c r="B86" s="150">
        <v>500</v>
      </c>
    </row>
    <row r="87" spans="1:2" x14ac:dyDescent="0.25">
      <c r="A87" s="3" t="s">
        <v>228</v>
      </c>
      <c r="B87" s="150">
        <v>1500</v>
      </c>
    </row>
    <row r="88" spans="1:2" x14ac:dyDescent="0.25">
      <c r="A88" s="3" t="s">
        <v>229</v>
      </c>
      <c r="B88" s="150">
        <v>1500</v>
      </c>
    </row>
    <row r="89" spans="1:2" s="142" customFormat="1" x14ac:dyDescent="0.25">
      <c r="A89" s="1" t="s">
        <v>292</v>
      </c>
      <c r="B89" s="150">
        <v>3000</v>
      </c>
    </row>
    <row r="90" spans="1:2" x14ac:dyDescent="0.25">
      <c r="A90" s="3" t="s">
        <v>230</v>
      </c>
      <c r="B90" s="150"/>
    </row>
    <row r="91" spans="1:2" x14ac:dyDescent="0.25">
      <c r="A91" s="1" t="s">
        <v>293</v>
      </c>
      <c r="B91" s="150">
        <v>3500</v>
      </c>
    </row>
    <row r="92" spans="1:2" x14ac:dyDescent="0.25">
      <c r="A92" s="1" t="s">
        <v>294</v>
      </c>
      <c r="B92" s="150">
        <v>3000</v>
      </c>
    </row>
    <row r="93" spans="1:2" x14ac:dyDescent="0.25">
      <c r="A93" s="1" t="s">
        <v>295</v>
      </c>
      <c r="B93" s="150">
        <v>3000</v>
      </c>
    </row>
    <row r="94" spans="1:2" x14ac:dyDescent="0.25">
      <c r="A94" s="3" t="s">
        <v>231</v>
      </c>
      <c r="B94" s="149">
        <f>SUM(B81:B93)</f>
        <v>33060</v>
      </c>
    </row>
    <row r="95" spans="1:2" x14ac:dyDescent="0.25">
      <c r="A95" s="3" t="s">
        <v>232</v>
      </c>
      <c r="B95" s="150"/>
    </row>
    <row r="96" spans="1:2" x14ac:dyDescent="0.25">
      <c r="A96" s="3" t="s">
        <v>233</v>
      </c>
      <c r="B96" s="150">
        <v>3000</v>
      </c>
    </row>
    <row r="97" spans="1:2" x14ac:dyDescent="0.25">
      <c r="A97" s="3" t="s">
        <v>234</v>
      </c>
      <c r="B97" s="150">
        <v>0</v>
      </c>
    </row>
    <row r="98" spans="1:2" x14ac:dyDescent="0.25">
      <c r="A98" s="3" t="s">
        <v>235</v>
      </c>
      <c r="B98" s="150">
        <v>0</v>
      </c>
    </row>
    <row r="99" spans="1:2" x14ac:dyDescent="0.25">
      <c r="A99" s="3" t="s">
        <v>236</v>
      </c>
      <c r="B99" s="149">
        <f>SUM(B96:B98)</f>
        <v>3000</v>
      </c>
    </row>
    <row r="100" spans="1:2" x14ac:dyDescent="0.25">
      <c r="A100" s="3" t="s">
        <v>237</v>
      </c>
      <c r="B100" s="150">
        <v>4000</v>
      </c>
    </row>
    <row r="101" spans="1:2" x14ac:dyDescent="0.25">
      <c r="A101" s="3" t="s">
        <v>238</v>
      </c>
      <c r="B101" s="150">
        <v>0</v>
      </c>
    </row>
    <row r="102" spans="1:2" x14ac:dyDescent="0.25">
      <c r="A102" s="3" t="s">
        <v>239</v>
      </c>
      <c r="B102" s="150">
        <v>0</v>
      </c>
    </row>
    <row r="103" spans="1:2" x14ac:dyDescent="0.25">
      <c r="A103" s="3" t="s">
        <v>240</v>
      </c>
      <c r="B103" s="149">
        <f>SUM(B100:B102)</f>
        <v>4000</v>
      </c>
    </row>
    <row r="104" spans="1:2" x14ac:dyDescent="0.25">
      <c r="A104" s="3" t="s">
        <v>241</v>
      </c>
      <c r="B104" s="150">
        <v>4000</v>
      </c>
    </row>
    <row r="105" spans="1:2" x14ac:dyDescent="0.25">
      <c r="A105" s="3" t="s">
        <v>242</v>
      </c>
      <c r="B105" s="149">
        <v>11000</v>
      </c>
    </row>
    <row r="106" spans="1:2" x14ac:dyDescent="0.25">
      <c r="A106" s="3" t="s">
        <v>243</v>
      </c>
      <c r="B106" s="150">
        <v>0</v>
      </c>
    </row>
    <row r="107" spans="1:2" x14ac:dyDescent="0.25">
      <c r="A107" s="3" t="s">
        <v>245</v>
      </c>
      <c r="B107" s="150">
        <v>3500</v>
      </c>
    </row>
    <row r="108" spans="1:2" x14ac:dyDescent="0.25">
      <c r="A108" s="3" t="s">
        <v>246</v>
      </c>
      <c r="B108" s="149">
        <v>3500</v>
      </c>
    </row>
    <row r="109" spans="1:2" x14ac:dyDescent="0.25">
      <c r="A109" s="3" t="s">
        <v>247</v>
      </c>
      <c r="B109" s="150"/>
    </row>
    <row r="110" spans="1:2" x14ac:dyDescent="0.25">
      <c r="A110" s="3" t="s">
        <v>248</v>
      </c>
      <c r="B110" s="150">
        <v>3600</v>
      </c>
    </row>
    <row r="111" spans="1:2" x14ac:dyDescent="0.25">
      <c r="A111" s="3" t="s">
        <v>249</v>
      </c>
      <c r="B111" s="150">
        <v>8000</v>
      </c>
    </row>
    <row r="112" spans="1:2" x14ac:dyDescent="0.25">
      <c r="A112" s="3" t="s">
        <v>250</v>
      </c>
      <c r="B112" s="150">
        <v>1000</v>
      </c>
    </row>
    <row r="113" spans="1:2" x14ac:dyDescent="0.25">
      <c r="A113" s="3" t="s">
        <v>251</v>
      </c>
      <c r="B113" s="150">
        <v>700</v>
      </c>
    </row>
    <row r="114" spans="1:2" x14ac:dyDescent="0.25">
      <c r="A114" s="3" t="s">
        <v>252</v>
      </c>
      <c r="B114" s="150">
        <v>200</v>
      </c>
    </row>
    <row r="115" spans="1:2" x14ac:dyDescent="0.25">
      <c r="A115" s="3" t="s">
        <v>296</v>
      </c>
      <c r="B115" s="150">
        <v>56680</v>
      </c>
    </row>
    <row r="116" spans="1:2" x14ac:dyDescent="0.25">
      <c r="A116" s="3" t="s">
        <v>254</v>
      </c>
      <c r="B116" s="149">
        <f>SUM(B110:B115)</f>
        <v>70180</v>
      </c>
    </row>
    <row r="117" spans="1:2" x14ac:dyDescent="0.25">
      <c r="A117" s="3" t="s">
        <v>270</v>
      </c>
      <c r="B117" s="149">
        <f>SUM(B35:B116)-B42-B45-B56-B63-B67-B79-B94-B99-B103-B105-B108-B116</f>
        <v>627550</v>
      </c>
    </row>
    <row r="118" spans="1:2" x14ac:dyDescent="0.25">
      <c r="A118" s="3" t="s">
        <v>271</v>
      </c>
      <c r="B118" s="149">
        <f>B31-B117</f>
        <v>50000</v>
      </c>
    </row>
    <row r="119" spans="1:2" x14ac:dyDescent="0.25">
      <c r="A119" s="3" t="s">
        <v>275</v>
      </c>
      <c r="B119" s="151"/>
    </row>
    <row r="120" spans="1:2" s="141" customFormat="1" x14ac:dyDescent="0.25">
      <c r="A120" s="1" t="s">
        <v>297</v>
      </c>
      <c r="B120" s="5">
        <v>50000</v>
      </c>
    </row>
    <row r="121" spans="1:2" x14ac:dyDescent="0.25">
      <c r="A121" s="3" t="s">
        <v>280</v>
      </c>
      <c r="B121" s="5">
        <v>0</v>
      </c>
    </row>
    <row r="122" spans="1:2" x14ac:dyDescent="0.25">
      <c r="A122" s="3" t="s">
        <v>283</v>
      </c>
      <c r="B122" s="6">
        <v>50000</v>
      </c>
    </row>
    <row r="123" spans="1:2" s="146" customFormat="1" x14ac:dyDescent="0.25">
      <c r="A123" s="3"/>
      <c r="B123" s="6"/>
    </row>
    <row r="124" spans="1:2" ht="24" thickBot="1" x14ac:dyDescent="0.3">
      <c r="A124" s="147" t="s">
        <v>298</v>
      </c>
      <c r="B124" s="153">
        <f>B117+B122</f>
        <v>677550</v>
      </c>
    </row>
    <row r="125" spans="1:2" s="146" customFormat="1" ht="15.75" thickTop="1" x14ac:dyDescent="0.25">
      <c r="A125" s="148"/>
      <c r="B125" s="152"/>
    </row>
    <row r="126" spans="1:2" x14ac:dyDescent="0.25">
      <c r="A126" s="3" t="s">
        <v>285</v>
      </c>
      <c r="B126" s="6">
        <f>B31-B124</f>
        <v>0</v>
      </c>
    </row>
    <row r="127" spans="1:2" x14ac:dyDescent="0.25">
      <c r="A127" s="3"/>
      <c r="B127" s="4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ient_x0020_Name xmlns="ae928fb6-c8dc-424b-b25c-f57f90e39001">City of Woodcreek</Client_x0020_Nam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09E72D79E1F46A329528AE1262BCA" ma:contentTypeVersion="12" ma:contentTypeDescription="Create a new document." ma:contentTypeScope="" ma:versionID="88e5ddb4d671eab7983026550861ddd3">
  <xsd:schema xmlns:xsd="http://www.w3.org/2001/XMLSchema" xmlns:xs="http://www.w3.org/2001/XMLSchema" xmlns:p="http://schemas.microsoft.com/office/2006/metadata/properties" xmlns:ns2="ae928fb6-c8dc-424b-b25c-f57f90e39001" xmlns:ns3="d186611d-e620-495d-882c-a66a6ee78ab4" targetNamespace="http://schemas.microsoft.com/office/2006/metadata/properties" ma:root="true" ma:fieldsID="efba71705123b7eefb55c7ebdf283955" ns2:_="" ns3:_="">
    <xsd:import namespace="ae928fb6-c8dc-424b-b25c-f57f90e39001"/>
    <xsd:import namespace="d186611d-e620-495d-882c-a66a6ee78ab4"/>
    <xsd:element name="properties">
      <xsd:complexType>
        <xsd:sequence>
          <xsd:element name="documentManagement">
            <xsd:complexType>
              <xsd:all>
                <xsd:element ref="ns2:Client_x0020_Nam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28fb6-c8dc-424b-b25c-f57f90e39001" elementFormDefault="qualified">
    <xsd:import namespace="http://schemas.microsoft.com/office/2006/documentManagement/types"/>
    <xsd:import namespace="http://schemas.microsoft.com/office/infopath/2007/PartnerControls"/>
    <xsd:element name="Client_x0020_Name" ma:index="8" nillable="true" ma:displayName="Client Name" ma:internalName="Client_x0020_Name">
      <xsd:simpleType>
        <xsd:restriction base="dms:Text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6611d-e620-495d-882c-a66a6ee78ab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DDCEDA-CF88-434A-B009-44C02D25B5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0F3393-D3C4-4DB3-A732-7CB48DFBF126}">
  <ds:schemaRefs>
    <ds:schemaRef ds:uri="http://purl.org/dc/terms/"/>
    <ds:schemaRef ds:uri="d186611d-e620-495d-882c-a66a6ee78ab4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ae928fb6-c8dc-424b-b25c-f57f90e3900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71BEAD-668B-4DBD-9EB2-F9140072C8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928fb6-c8dc-424b-b25c-f57f90e39001"/>
    <ds:schemaRef ds:uri="d186611d-e620-495d-882c-a66a6ee78a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2nd Budget Amend 16-17 from Mgr</vt:lpstr>
      <vt:lpstr>Budget Amendm 16-17 from Mgr</vt:lpstr>
      <vt:lpstr>Old PreAmendment 2016-17</vt:lpstr>
      <vt:lpstr>2018-19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Derek Peterson</dc:creator>
  <cp:keywords/>
  <dc:description/>
  <cp:lastModifiedBy>Assistant Administrator</cp:lastModifiedBy>
  <cp:revision/>
  <dcterms:created xsi:type="dcterms:W3CDTF">2016-11-15T19:05:40Z</dcterms:created>
  <dcterms:modified xsi:type="dcterms:W3CDTF">2019-08-23T16:25:57Z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0x010100A4A09E72D79E1F46A329528AE1262BCA</vt:lpwstr>
  </property>
</Properties>
</file>